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2760" yWindow="32760" windowWidth="9600" windowHeight="11460" tabRatio="781" activeTab="1"/>
  </bookViews>
  <sheets>
    <sheet name="Раздел 1" sheetId="15" r:id="rId1"/>
    <sheet name="Раздел 2" sheetId="63" r:id="rId2"/>
    <sheet name="Табл. 1  Гос.задание(2)" sheetId="85" r:id="rId3"/>
    <sheet name="Табл. 2 Иные цели(2)" sheetId="86" r:id="rId4"/>
    <sheet name="Табл. 3 кап вложения(2)" sheetId="87" r:id="rId5"/>
    <sheet name="Табл. 5 ОМС" sheetId="75" r:id="rId6"/>
    <sheet name="Табл. 4.3 платные ВСЕГО " sheetId="78" r:id="rId7"/>
    <sheet name="Табл. 4.3 платные (0902)" sheetId="68" r:id="rId8"/>
    <sheet name="таб. 6 опл. тр СВОД " sheetId="83" r:id="rId9"/>
    <sheet name="т.5 опл. тр СТАЦИОНАР" sheetId="79" r:id="rId10"/>
    <sheet name="т.5 опл.Дневной стац. (2)" sheetId="80" r:id="rId11"/>
    <sheet name="т.5 опл. тр АМБУЛАТОРИЯ" sheetId="81" r:id="rId12"/>
    <sheet name="т.5 опл.Скорая" sheetId="82" r:id="rId13"/>
    <sheet name="проверка" sheetId="88" r:id="rId14"/>
  </sheets>
  <externalReferences>
    <externalReference r:id="rId15"/>
  </externalReferences>
  <definedNames>
    <definedName name="_xlnm._FilterDatabase" localSheetId="0" hidden="1">'Раздел 1'!$A$42:$J$67</definedName>
    <definedName name="_xlnm._FilterDatabase" localSheetId="2" hidden="1">'Табл. 1  Гос.задание(2)'!$A$12:$V$104</definedName>
    <definedName name="_xlnm._FilterDatabase" localSheetId="3" hidden="1">'Табл. 2 Иные цели(2)'!$A$12:$V$104</definedName>
    <definedName name="_xlnm._FilterDatabase" localSheetId="6" hidden="1">'Табл. 4.3 платные ВСЕГО '!$A$12:$V$108</definedName>
    <definedName name="_xlnm._FilterDatabase" localSheetId="5" hidden="1">'Табл. 5 ОМС'!$A$12:$V$106</definedName>
    <definedName name="TABLE" localSheetId="1">'Раздел 2'!#REF!</definedName>
    <definedName name="TABLE_2" localSheetId="1">'Раздел 2'!#REF!</definedName>
    <definedName name="_xlnm.Print_Titles" localSheetId="1">'Раздел 2'!$3:$6</definedName>
    <definedName name="_xlnm.Print_Area" localSheetId="0">'Раздел 1'!$A$1:$J$152</definedName>
    <definedName name="_xlnm.Print_Area" localSheetId="11">'т.5 опл. тр АМБУЛАТОРИЯ'!$A$1:$O$48</definedName>
    <definedName name="_xlnm.Print_Area" localSheetId="9">'т.5 опл. тр СТАЦИОНАР'!$A$4:$O$48</definedName>
    <definedName name="_xlnm.Print_Area" localSheetId="10">'т.5 опл.Дневной стац. (2)'!$A$1:$O$48</definedName>
    <definedName name="_xlnm.Print_Area" localSheetId="12">'т.5 опл.Скорая'!$A$4:$O$48</definedName>
    <definedName name="_xlnm.Print_Area" localSheetId="3">'Табл. 2 Иные цели(2)'!$A$1:$V$127</definedName>
    <definedName name="_xlnm.Print_Area" localSheetId="4">'Табл. 3 кап вложения(2)'!$A$1:$V$123</definedName>
    <definedName name="_xlnm.Print_Area" localSheetId="7">'Табл. 4.3 платные (0902)'!$A$1:$V$132</definedName>
    <definedName name="_xlnm.Print_Area" localSheetId="6">'Табл. 4.3 платные ВСЕГО '!$A$4:$V$131</definedName>
    <definedName name="_xlnm.Print_Area" localSheetId="5">'Табл. 5 ОМС'!$A$1:$V$129</definedName>
  </definedNames>
  <calcPr calcId="145621" fullPrecision="0"/>
</workbook>
</file>

<file path=xl/calcChain.xml><?xml version="1.0" encoding="utf-8"?>
<calcChain xmlns="http://schemas.openxmlformats.org/spreadsheetml/2006/main">
  <c r="T51" i="86" l="1"/>
  <c r="T44" i="86"/>
  <c r="T28" i="86"/>
  <c r="DS23" i="63" l="1"/>
  <c r="DS22" i="63"/>
  <c r="DS21" i="63"/>
  <c r="DS20" i="63"/>
  <c r="K52" i="68" l="1"/>
  <c r="K95" i="68"/>
  <c r="K96" i="68"/>
  <c r="K65" i="68"/>
  <c r="K67" i="68"/>
  <c r="K91" i="68"/>
  <c r="K90" i="68"/>
  <c r="K88" i="68"/>
  <c r="K19" i="68"/>
  <c r="T56" i="86" l="1"/>
  <c r="D12" i="83" l="1"/>
  <c r="DS36" i="63" l="1"/>
  <c r="EF10" i="63"/>
  <c r="J86" i="15"/>
  <c r="I86" i="15"/>
  <c r="H87" i="15"/>
  <c r="T43" i="86"/>
  <c r="T42" i="86" s="1"/>
  <c r="T52" i="86"/>
  <c r="T51" i="85" l="1"/>
  <c r="T44" i="85"/>
  <c r="T19" i="85"/>
  <c r="H51" i="75"/>
  <c r="T53" i="75"/>
  <c r="O31" i="82" l="1"/>
  <c r="O19" i="82"/>
  <c r="T45" i="75" l="1"/>
  <c r="T49" i="75"/>
  <c r="T47" i="75"/>
  <c r="T67" i="75"/>
  <c r="T63" i="75"/>
  <c r="T96" i="75"/>
  <c r="T93" i="75"/>
  <c r="T92" i="75"/>
  <c r="T91" i="75"/>
  <c r="T90" i="75"/>
  <c r="T89" i="75"/>
  <c r="T88" i="75"/>
  <c r="T85" i="75"/>
  <c r="N92" i="75"/>
  <c r="N65" i="75"/>
  <c r="N94" i="75"/>
  <c r="N83" i="75"/>
  <c r="N46" i="75"/>
  <c r="K46" i="75" l="1"/>
  <c r="K48" i="75" l="1"/>
  <c r="H48" i="75" s="1"/>
  <c r="N21" i="75"/>
  <c r="T21" i="75"/>
  <c r="K92" i="75" l="1"/>
  <c r="K65" i="75"/>
  <c r="K96" i="75"/>
  <c r="K94" i="75"/>
  <c r="K89" i="75"/>
  <c r="K86" i="75"/>
  <c r="K83" i="75"/>
  <c r="N28" i="86" l="1"/>
  <c r="N51" i="86"/>
  <c r="N44" i="86"/>
  <c r="N93" i="86" l="1"/>
  <c r="N91" i="86"/>
  <c r="M77" i="78"/>
  <c r="L77" i="78"/>
  <c r="K77" i="78"/>
  <c r="J77" i="68"/>
  <c r="J77" i="78" s="1"/>
  <c r="J108" i="15" s="1"/>
  <c r="I77" i="68"/>
  <c r="I77" i="78" s="1"/>
  <c r="I108" i="15" s="1"/>
  <c r="H77" i="68"/>
  <c r="H77" i="78" s="1"/>
  <c r="H108" i="15" s="1"/>
  <c r="N29" i="86" l="1"/>
  <c r="K29" i="86"/>
  <c r="N90" i="86"/>
  <c r="K90" i="86"/>
  <c r="H78" i="85" l="1"/>
  <c r="I78" i="85"/>
  <c r="J78" i="85"/>
  <c r="H78" i="86"/>
  <c r="I78" i="86"/>
  <c r="J78" i="86"/>
  <c r="H74" i="87"/>
  <c r="I74" i="87"/>
  <c r="J74" i="87"/>
  <c r="K80" i="78"/>
  <c r="L80" i="78"/>
  <c r="M80" i="78"/>
  <c r="N80" i="78"/>
  <c r="O80" i="78"/>
  <c r="P80" i="78"/>
  <c r="Q80" i="78"/>
  <c r="R80" i="78"/>
  <c r="S80" i="78"/>
  <c r="T80" i="78"/>
  <c r="U80" i="78"/>
  <c r="V80" i="78"/>
  <c r="H80" i="68"/>
  <c r="H80" i="78" s="1"/>
  <c r="I80" i="68"/>
  <c r="I80" i="78" s="1"/>
  <c r="J80" i="68"/>
  <c r="J80" i="78" s="1"/>
  <c r="H79" i="75"/>
  <c r="I79" i="75"/>
  <c r="J79" i="75"/>
  <c r="T78" i="68"/>
  <c r="U78" i="68"/>
  <c r="V78" i="68"/>
  <c r="J29" i="78"/>
  <c r="I29" i="78"/>
  <c r="H29" i="78"/>
  <c r="J28" i="78"/>
  <c r="I28" i="78"/>
  <c r="H28" i="78"/>
  <c r="J72" i="75" l="1"/>
  <c r="J73" i="75"/>
  <c r="J74" i="75"/>
  <c r="I72" i="75"/>
  <c r="I73" i="75"/>
  <c r="I74" i="75"/>
  <c r="H72" i="75"/>
  <c r="H73" i="75"/>
  <c r="H74" i="75"/>
  <c r="J74" i="68" l="1"/>
  <c r="J74" i="78" s="1"/>
  <c r="I74" i="68"/>
  <c r="I74" i="78" s="1"/>
  <c r="H74" i="68"/>
  <c r="H74" i="78" s="1"/>
  <c r="H104" i="15" s="1"/>
  <c r="J73" i="68"/>
  <c r="J73" i="78" s="1"/>
  <c r="I73" i="68"/>
  <c r="I73" i="78" s="1"/>
  <c r="H73" i="68"/>
  <c r="H73" i="78" s="1"/>
  <c r="H103" i="15" s="1"/>
  <c r="J72" i="68"/>
  <c r="J72" i="78" s="1"/>
  <c r="I72" i="68"/>
  <c r="I72" i="78" s="1"/>
  <c r="H72" i="68"/>
  <c r="H72" i="78" s="1"/>
  <c r="K102" i="15" s="1"/>
  <c r="L102" i="15" s="1"/>
  <c r="K103" i="15" l="1"/>
  <c r="L103" i="15" s="1"/>
  <c r="K104" i="15"/>
  <c r="L104" i="15" s="1"/>
  <c r="J29" i="85"/>
  <c r="I29" i="85"/>
  <c r="H29" i="85"/>
  <c r="Q92" i="75" l="1"/>
  <c r="K91" i="75"/>
  <c r="N89" i="75"/>
  <c r="N88" i="75"/>
  <c r="K88" i="75"/>
  <c r="K81" i="75" s="1"/>
  <c r="N85" i="75"/>
  <c r="C17" i="81" l="1"/>
  <c r="C18" i="81"/>
  <c r="C19" i="81"/>
  <c r="C20" i="81"/>
  <c r="O18" i="81"/>
  <c r="O17" i="81"/>
  <c r="O20" i="81"/>
  <c r="O19" i="81"/>
  <c r="N20" i="81"/>
  <c r="N18" i="81"/>
  <c r="N19" i="81"/>
  <c r="N17" i="81"/>
  <c r="Q52" i="75" l="1"/>
  <c r="Q46" i="75"/>
  <c r="N90" i="75"/>
  <c r="N87" i="75"/>
  <c r="N86" i="75"/>
  <c r="N95" i="68"/>
  <c r="N58" i="68"/>
  <c r="Q98" i="68"/>
  <c r="Q95" i="68"/>
  <c r="Q92" i="68"/>
  <c r="K92" i="68"/>
  <c r="K49" i="68"/>
  <c r="K76" i="68"/>
  <c r="K75" i="68" s="1"/>
  <c r="K93" i="68"/>
  <c r="K82" i="68"/>
  <c r="K46" i="68"/>
  <c r="Q30" i="68"/>
  <c r="Q26" i="68" l="1"/>
  <c r="H26" i="68" s="1"/>
  <c r="H30" i="68"/>
  <c r="H92" i="68"/>
  <c r="N52" i="75"/>
  <c r="N45" i="75"/>
  <c r="H45" i="75" s="1"/>
  <c r="N26" i="75" l="1"/>
  <c r="N30" i="75"/>
  <c r="H60" i="15" s="1"/>
  <c r="H35" i="75"/>
  <c r="N88" i="85" l="1"/>
  <c r="N92" i="85"/>
  <c r="S83" i="68" l="1"/>
  <c r="S78" i="68" s="1"/>
  <c r="R83" i="68"/>
  <c r="R78" i="68" s="1"/>
  <c r="Q83" i="68"/>
  <c r="N98" i="68"/>
  <c r="H98" i="68" s="1"/>
  <c r="S43" i="68"/>
  <c r="R43" i="68"/>
  <c r="S15" i="68"/>
  <c r="R15" i="68"/>
  <c r="Q15" i="68"/>
  <c r="Q43" i="68" l="1"/>
  <c r="Q134" i="68" s="1"/>
  <c r="Q78" i="68"/>
  <c r="S134" i="68"/>
  <c r="R134" i="68"/>
  <c r="L91" i="75" l="1"/>
  <c r="K91" i="86" l="1"/>
  <c r="K88" i="86"/>
  <c r="K87" i="86"/>
  <c r="N88" i="86"/>
  <c r="N87" i="86"/>
  <c r="K28" i="86"/>
  <c r="DS35" i="63" l="1"/>
  <c r="J94" i="75" l="1"/>
  <c r="I94" i="75"/>
  <c r="H94" i="75"/>
  <c r="K96" i="78"/>
  <c r="H96" i="78" s="1"/>
  <c r="H125" i="15" s="1"/>
  <c r="J96" i="78"/>
  <c r="J125" i="15" s="1"/>
  <c r="I96" i="78"/>
  <c r="I125" i="15" s="1"/>
  <c r="K97" i="68"/>
  <c r="J97" i="68"/>
  <c r="I97" i="68"/>
  <c r="H97" i="68"/>
  <c r="T26" i="86"/>
  <c r="K64" i="68"/>
  <c r="K64" i="78" s="1"/>
  <c r="H95" i="68"/>
  <c r="K47" i="68"/>
  <c r="K40" i="68"/>
  <c r="K40" i="78" s="1"/>
  <c r="K15" i="68"/>
  <c r="N15" i="68"/>
  <c r="K104" i="68"/>
  <c r="T84" i="75"/>
  <c r="T81" i="75" s="1"/>
  <c r="T54" i="75"/>
  <c r="T46" i="75"/>
  <c r="H46" i="75" s="1"/>
  <c r="N63" i="75"/>
  <c r="N57" i="75"/>
  <c r="N97" i="75"/>
  <c r="N49" i="75"/>
  <c r="N47" i="75"/>
  <c r="H47" i="75" s="1"/>
  <c r="K50" i="75"/>
  <c r="H50" i="75" s="1"/>
  <c r="K49" i="75"/>
  <c r="Q21" i="75"/>
  <c r="Q19" i="75" s="1"/>
  <c r="Q15" i="75" s="1"/>
  <c r="K21" i="75"/>
  <c r="T19" i="75"/>
  <c r="T15" i="75" s="1"/>
  <c r="Q29" i="86"/>
  <c r="Q26" i="86" s="1"/>
  <c r="Q15" i="86" s="1"/>
  <c r="K79" i="86"/>
  <c r="N79" i="86"/>
  <c r="V26" i="86"/>
  <c r="V15" i="86" s="1"/>
  <c r="U26" i="86"/>
  <c r="U15" i="86" s="1"/>
  <c r="N26" i="86"/>
  <c r="N67" i="75"/>
  <c r="M55" i="75"/>
  <c r="L55" i="75"/>
  <c r="K55" i="75"/>
  <c r="V55" i="75"/>
  <c r="U55" i="75"/>
  <c r="T55" i="75"/>
  <c r="S55" i="75"/>
  <c r="R55" i="75"/>
  <c r="Q55" i="75"/>
  <c r="P55" i="75"/>
  <c r="O55" i="75"/>
  <c r="N56" i="75"/>
  <c r="N55" i="75" s="1"/>
  <c r="L89" i="75"/>
  <c r="N64" i="75"/>
  <c r="I81" i="68"/>
  <c r="J81" i="68"/>
  <c r="K81" i="68"/>
  <c r="V81" i="78"/>
  <c r="U81" i="78"/>
  <c r="T81" i="78"/>
  <c r="S81" i="78"/>
  <c r="R81" i="78"/>
  <c r="Q81" i="78"/>
  <c r="P81" i="78"/>
  <c r="O81" i="78"/>
  <c r="N81" i="78"/>
  <c r="M81" i="78"/>
  <c r="L81" i="78"/>
  <c r="K81" i="78"/>
  <c r="J81" i="78"/>
  <c r="I81" i="78"/>
  <c r="K44" i="68"/>
  <c r="K44" i="78" s="1"/>
  <c r="V19" i="75"/>
  <c r="V15" i="75" s="1"/>
  <c r="U19" i="75"/>
  <c r="U15" i="75" s="1"/>
  <c r="S19" i="75"/>
  <c r="S15" i="75" s="1"/>
  <c r="R19" i="75"/>
  <c r="R15" i="75" s="1"/>
  <c r="P19" i="75"/>
  <c r="P15" i="75" s="1"/>
  <c r="O19" i="75"/>
  <c r="O15" i="75" s="1"/>
  <c r="N19" i="75"/>
  <c r="N15" i="75" s="1"/>
  <c r="M19" i="75"/>
  <c r="M15" i="75" s="1"/>
  <c r="L19" i="75"/>
  <c r="L15" i="75" s="1"/>
  <c r="K19" i="75"/>
  <c r="K15" i="75" s="1"/>
  <c r="Q22" i="68"/>
  <c r="Q22" i="78" s="1"/>
  <c r="P22" i="68"/>
  <c r="O22" i="68"/>
  <c r="O22" i="78" s="1"/>
  <c r="N22" i="68"/>
  <c r="M22" i="68"/>
  <c r="M22" i="78" s="1"/>
  <c r="L22" i="68"/>
  <c r="K22" i="68"/>
  <c r="K22" i="78" s="1"/>
  <c r="P43" i="85"/>
  <c r="O43" i="85"/>
  <c r="N43" i="85"/>
  <c r="J29" i="86"/>
  <c r="I29" i="86"/>
  <c r="H13" i="86"/>
  <c r="I13" i="86"/>
  <c r="J13" i="86"/>
  <c r="H14" i="86"/>
  <c r="I14" i="86"/>
  <c r="J14" i="86"/>
  <c r="A5" i="85"/>
  <c r="A1" i="85"/>
  <c r="H13" i="85"/>
  <c r="I13" i="85"/>
  <c r="J13" i="85"/>
  <c r="EF35" i="63"/>
  <c r="ES35" i="63"/>
  <c r="ES36" i="63"/>
  <c r="EF36" i="63"/>
  <c r="AM97" i="88"/>
  <c r="AM98" i="88"/>
  <c r="J45" i="85"/>
  <c r="I45" i="85"/>
  <c r="J46" i="75"/>
  <c r="I46" i="75"/>
  <c r="AJ40" i="88"/>
  <c r="AI40" i="88"/>
  <c r="AA40" i="88"/>
  <c r="Z40" i="88"/>
  <c r="I40" i="88"/>
  <c r="H40" i="88"/>
  <c r="V85" i="75"/>
  <c r="V81" i="75" s="1"/>
  <c r="V89" i="75"/>
  <c r="U89" i="75"/>
  <c r="S89" i="75"/>
  <c r="R89" i="75"/>
  <c r="Q89" i="75"/>
  <c r="Q81" i="75" s="1"/>
  <c r="P89" i="75"/>
  <c r="O89" i="75"/>
  <c r="M89" i="75"/>
  <c r="V43" i="85"/>
  <c r="U43" i="85"/>
  <c r="T43" i="85"/>
  <c r="K43" i="85"/>
  <c r="M43" i="85"/>
  <c r="L43" i="85"/>
  <c r="S43" i="85"/>
  <c r="R43" i="85"/>
  <c r="Q43" i="85"/>
  <c r="V15" i="85"/>
  <c r="U15" i="85"/>
  <c r="T15" i="85"/>
  <c r="S15" i="85"/>
  <c r="R15" i="85"/>
  <c r="Q15" i="85"/>
  <c r="P15" i="85"/>
  <c r="O15" i="85"/>
  <c r="M15" i="85"/>
  <c r="L15" i="85"/>
  <c r="K15" i="85"/>
  <c r="N19" i="85"/>
  <c r="N15" i="85" s="1"/>
  <c r="O20" i="85"/>
  <c r="P20" i="85"/>
  <c r="P94" i="85"/>
  <c r="I44" i="85"/>
  <c r="Z39" i="88" s="1"/>
  <c r="V20" i="85"/>
  <c r="U20" i="85"/>
  <c r="T20" i="85"/>
  <c r="I23" i="85"/>
  <c r="Z19" i="88" s="1"/>
  <c r="J100" i="87"/>
  <c r="I100" i="87"/>
  <c r="H100" i="87"/>
  <c r="J99" i="87"/>
  <c r="I99" i="87"/>
  <c r="H99" i="87"/>
  <c r="J98" i="87"/>
  <c r="I98" i="87"/>
  <c r="H98" i="87"/>
  <c r="J97" i="87"/>
  <c r="I97" i="87"/>
  <c r="H97" i="87"/>
  <c r="J96" i="87"/>
  <c r="I96" i="87"/>
  <c r="H96" i="87"/>
  <c r="J95" i="87"/>
  <c r="I95" i="87"/>
  <c r="H95" i="87"/>
  <c r="J94" i="87"/>
  <c r="I94" i="87"/>
  <c r="H94" i="87"/>
  <c r="J93" i="87"/>
  <c r="I93" i="87"/>
  <c r="H93" i="87"/>
  <c r="J92" i="87"/>
  <c r="I92" i="87"/>
  <c r="H92" i="87"/>
  <c r="J91" i="87"/>
  <c r="I91" i="87"/>
  <c r="H91" i="87"/>
  <c r="J90" i="87"/>
  <c r="I90" i="87"/>
  <c r="H90" i="87"/>
  <c r="J89" i="87"/>
  <c r="I89" i="87"/>
  <c r="H89" i="87"/>
  <c r="J88" i="87"/>
  <c r="I88" i="87"/>
  <c r="H88" i="87"/>
  <c r="J87" i="87"/>
  <c r="I87" i="87"/>
  <c r="H87" i="87"/>
  <c r="J86" i="87"/>
  <c r="I86" i="87"/>
  <c r="H86" i="87"/>
  <c r="J85" i="87"/>
  <c r="I85" i="87"/>
  <c r="H85" i="87"/>
  <c r="J84" i="87"/>
  <c r="I84" i="87"/>
  <c r="H84" i="87"/>
  <c r="J83" i="87"/>
  <c r="I83" i="87"/>
  <c r="H83" i="87"/>
  <c r="J82" i="87"/>
  <c r="I82" i="87"/>
  <c r="H82" i="87"/>
  <c r="J81" i="87"/>
  <c r="I81" i="87"/>
  <c r="H81" i="87"/>
  <c r="J80" i="87"/>
  <c r="I80" i="87"/>
  <c r="H80" i="87"/>
  <c r="J79" i="87"/>
  <c r="I79" i="87"/>
  <c r="H79" i="87"/>
  <c r="J78" i="87"/>
  <c r="I78" i="87"/>
  <c r="H78" i="87"/>
  <c r="J77" i="87"/>
  <c r="I77" i="87"/>
  <c r="H77" i="87"/>
  <c r="V76" i="87"/>
  <c r="U76" i="87"/>
  <c r="T76" i="87"/>
  <c r="S76" i="87"/>
  <c r="R76" i="87"/>
  <c r="Q76" i="87"/>
  <c r="P76" i="87"/>
  <c r="O76" i="87"/>
  <c r="N76" i="87"/>
  <c r="M76" i="87"/>
  <c r="L76" i="87"/>
  <c r="I76" i="87" s="1"/>
  <c r="K76" i="87"/>
  <c r="J75" i="87"/>
  <c r="I75" i="87"/>
  <c r="H75" i="87"/>
  <c r="J73" i="87"/>
  <c r="I73" i="87"/>
  <c r="H73" i="87"/>
  <c r="J72" i="87"/>
  <c r="I72" i="87"/>
  <c r="H72" i="87"/>
  <c r="J71" i="87"/>
  <c r="I71" i="87"/>
  <c r="H71" i="87"/>
  <c r="J70" i="87"/>
  <c r="I70" i="87"/>
  <c r="H70" i="87"/>
  <c r="J69" i="87"/>
  <c r="I69" i="87"/>
  <c r="H69" i="87"/>
  <c r="J68" i="87"/>
  <c r="I68" i="87"/>
  <c r="H68" i="87"/>
  <c r="J67" i="87"/>
  <c r="I67" i="87"/>
  <c r="H67" i="87"/>
  <c r="J66" i="87"/>
  <c r="I66" i="87"/>
  <c r="H66" i="87"/>
  <c r="J65" i="87"/>
  <c r="I65" i="87"/>
  <c r="H65" i="87"/>
  <c r="J64" i="87"/>
  <c r="I64" i="87"/>
  <c r="H64" i="87"/>
  <c r="J63" i="87"/>
  <c r="I63" i="87"/>
  <c r="H63" i="87"/>
  <c r="J62" i="87"/>
  <c r="I62" i="87"/>
  <c r="H62" i="87"/>
  <c r="J61" i="87"/>
  <c r="I61" i="87"/>
  <c r="H61" i="87"/>
  <c r="V60" i="87"/>
  <c r="U60" i="87"/>
  <c r="T60" i="87"/>
  <c r="S60" i="87"/>
  <c r="R60" i="87"/>
  <c r="Q60" i="87"/>
  <c r="P60" i="87"/>
  <c r="O60" i="87"/>
  <c r="N60" i="87"/>
  <c r="M60" i="87"/>
  <c r="L60" i="87"/>
  <c r="I60" i="87" s="1"/>
  <c r="K60" i="87"/>
  <c r="J59" i="87"/>
  <c r="I59" i="87"/>
  <c r="H59" i="87"/>
  <c r="J58" i="87"/>
  <c r="I58" i="87"/>
  <c r="H58" i="87"/>
  <c r="J57" i="87"/>
  <c r="I57" i="87"/>
  <c r="H57" i="87"/>
  <c r="J56" i="87"/>
  <c r="I56" i="87"/>
  <c r="H56" i="87"/>
  <c r="J55" i="87"/>
  <c r="I55" i="87"/>
  <c r="H55" i="87"/>
  <c r="J54" i="87"/>
  <c r="I54" i="87"/>
  <c r="H54" i="87"/>
  <c r="J53" i="87"/>
  <c r="I53" i="87"/>
  <c r="H53" i="87"/>
  <c r="J52" i="87"/>
  <c r="I52" i="87"/>
  <c r="H52" i="87"/>
  <c r="V51" i="87"/>
  <c r="U51" i="87"/>
  <c r="T51" i="87"/>
  <c r="S51" i="87"/>
  <c r="R51" i="87"/>
  <c r="Q51" i="87"/>
  <c r="P51" i="87"/>
  <c r="O51" i="87"/>
  <c r="N51" i="87"/>
  <c r="M51" i="87"/>
  <c r="L51" i="87"/>
  <c r="I51" i="87" s="1"/>
  <c r="K51" i="87"/>
  <c r="J50" i="87"/>
  <c r="I50" i="87"/>
  <c r="H50" i="87"/>
  <c r="J49" i="87"/>
  <c r="I49" i="87"/>
  <c r="H49" i="87"/>
  <c r="J48" i="87"/>
  <c r="I48" i="87"/>
  <c r="H48" i="87"/>
  <c r="J47" i="87"/>
  <c r="I47" i="87"/>
  <c r="H47" i="87"/>
  <c r="J46" i="87"/>
  <c r="I46" i="87"/>
  <c r="H46" i="87"/>
  <c r="J45" i="87"/>
  <c r="I45" i="87"/>
  <c r="H45" i="87"/>
  <c r="H44" i="87"/>
  <c r="J43" i="87"/>
  <c r="I43" i="87"/>
  <c r="H43" i="87"/>
  <c r="V42" i="87"/>
  <c r="V41" i="87" s="1"/>
  <c r="U42" i="87"/>
  <c r="U41" i="87" s="1"/>
  <c r="T42" i="87"/>
  <c r="T41" i="87" s="1"/>
  <c r="S42" i="87"/>
  <c r="R42" i="87"/>
  <c r="R41" i="87" s="1"/>
  <c r="Q42" i="87"/>
  <c r="Q41" i="87" s="1"/>
  <c r="P42" i="87"/>
  <c r="O42" i="87"/>
  <c r="N42" i="87"/>
  <c r="N41" i="87" s="1"/>
  <c r="M42" i="87"/>
  <c r="L42" i="87"/>
  <c r="K42" i="87"/>
  <c r="K41" i="87" s="1"/>
  <c r="O41" i="87"/>
  <c r="J40" i="87"/>
  <c r="I40" i="87"/>
  <c r="H40" i="87"/>
  <c r="J39" i="87"/>
  <c r="I39" i="87"/>
  <c r="H39" i="87"/>
  <c r="J38" i="87"/>
  <c r="I38" i="87"/>
  <c r="H38" i="87"/>
  <c r="J37" i="87"/>
  <c r="I37" i="87"/>
  <c r="H37" i="87"/>
  <c r="J36" i="87"/>
  <c r="I36" i="87"/>
  <c r="H36" i="87"/>
  <c r="J35" i="87"/>
  <c r="I35" i="87"/>
  <c r="H35" i="87"/>
  <c r="J34" i="87"/>
  <c r="I34" i="87"/>
  <c r="H34" i="87"/>
  <c r="J33" i="87"/>
  <c r="I33" i="87"/>
  <c r="H33" i="87"/>
  <c r="J32" i="87"/>
  <c r="I32" i="87"/>
  <c r="H32" i="87"/>
  <c r="J31" i="87"/>
  <c r="I31" i="87"/>
  <c r="H31" i="87"/>
  <c r="J30" i="87"/>
  <c r="I30" i="87"/>
  <c r="H30" i="87"/>
  <c r="J29" i="87"/>
  <c r="I29" i="87"/>
  <c r="H29" i="87"/>
  <c r="J28" i="87"/>
  <c r="I28" i="87"/>
  <c r="H28" i="87"/>
  <c r="J27" i="87"/>
  <c r="I27" i="87"/>
  <c r="H27" i="87"/>
  <c r="J26" i="87"/>
  <c r="I26" i="87"/>
  <c r="H26" i="87"/>
  <c r="J25" i="87"/>
  <c r="I25" i="87"/>
  <c r="H25" i="87"/>
  <c r="J24" i="87"/>
  <c r="I24" i="87"/>
  <c r="H24" i="87"/>
  <c r="J23" i="87"/>
  <c r="I23" i="87"/>
  <c r="H23" i="87"/>
  <c r="J22" i="87"/>
  <c r="I22" i="87"/>
  <c r="H22" i="87"/>
  <c r="J21" i="87"/>
  <c r="I21" i="87"/>
  <c r="H21" i="87"/>
  <c r="J20" i="87"/>
  <c r="I20" i="87"/>
  <c r="H20" i="87"/>
  <c r="J19" i="87"/>
  <c r="I19" i="87"/>
  <c r="H19" i="87"/>
  <c r="J18" i="87"/>
  <c r="I18" i="87"/>
  <c r="H18" i="87"/>
  <c r="J17" i="87"/>
  <c r="I17" i="87"/>
  <c r="H17" i="87"/>
  <c r="J16" i="87"/>
  <c r="I16" i="87"/>
  <c r="H16" i="87"/>
  <c r="V15" i="87"/>
  <c r="U15" i="87"/>
  <c r="U124" i="87" s="1"/>
  <c r="T15" i="87"/>
  <c r="S15" i="87"/>
  <c r="R15" i="87"/>
  <c r="Q15" i="87"/>
  <c r="Q124" i="87" s="1"/>
  <c r="P15" i="87"/>
  <c r="O15" i="87"/>
  <c r="O124" i="87" s="1"/>
  <c r="N15" i="87"/>
  <c r="N124" i="87" s="1"/>
  <c r="M15" i="87"/>
  <c r="L15" i="87"/>
  <c r="K15" i="87"/>
  <c r="J14" i="87"/>
  <c r="I14" i="87"/>
  <c r="H14" i="87"/>
  <c r="J13" i="87"/>
  <c r="I13" i="87"/>
  <c r="H13" i="87"/>
  <c r="J104" i="86"/>
  <c r="AJ96" i="88" s="1"/>
  <c r="I104" i="86"/>
  <c r="AI96" i="88" s="1"/>
  <c r="H104" i="86"/>
  <c r="J103" i="86"/>
  <c r="AJ95" i="88"/>
  <c r="I103" i="86"/>
  <c r="AI95" i="88" s="1"/>
  <c r="H103" i="86"/>
  <c r="AH95" i="88" s="1"/>
  <c r="J102" i="86"/>
  <c r="AJ94" i="88" s="1"/>
  <c r="I102" i="86"/>
  <c r="AI94" i="88" s="1"/>
  <c r="H102" i="86"/>
  <c r="J101" i="86"/>
  <c r="AJ93" i="88" s="1"/>
  <c r="I101" i="86"/>
  <c r="AI93" i="88" s="1"/>
  <c r="H101" i="86"/>
  <c r="AH93" i="88" s="1"/>
  <c r="J100" i="86"/>
  <c r="AJ92" i="88" s="1"/>
  <c r="I100" i="86"/>
  <c r="AI92" i="88" s="1"/>
  <c r="H100" i="86"/>
  <c r="J99" i="86"/>
  <c r="AJ91" i="88" s="1"/>
  <c r="I99" i="86"/>
  <c r="AI91" i="88" s="1"/>
  <c r="H99" i="86"/>
  <c r="AH91" i="88" s="1"/>
  <c r="J98" i="86"/>
  <c r="AJ90" i="88" s="1"/>
  <c r="I98" i="86"/>
  <c r="AI90" i="88" s="1"/>
  <c r="H98" i="86"/>
  <c r="J97" i="86"/>
  <c r="AJ89" i="88" s="1"/>
  <c r="I97" i="86"/>
  <c r="AI89" i="88" s="1"/>
  <c r="H97" i="86"/>
  <c r="AH89" i="88" s="1"/>
  <c r="J96" i="86"/>
  <c r="AJ88" i="88" s="1"/>
  <c r="I96" i="86"/>
  <c r="AI88" i="88" s="1"/>
  <c r="H96" i="86"/>
  <c r="J95" i="86"/>
  <c r="AJ87" i="88" s="1"/>
  <c r="I95" i="86"/>
  <c r="AI87" i="88"/>
  <c r="H95" i="86"/>
  <c r="AH87" i="88" s="1"/>
  <c r="J94" i="86"/>
  <c r="AJ86" i="88" s="1"/>
  <c r="I94" i="86"/>
  <c r="AI86" i="88" s="1"/>
  <c r="H94" i="86"/>
  <c r="J93" i="86"/>
  <c r="AJ85" i="88" s="1"/>
  <c r="I93" i="86"/>
  <c r="AI85" i="88" s="1"/>
  <c r="H93" i="86"/>
  <c r="AH85" i="88" s="1"/>
  <c r="J92" i="86"/>
  <c r="AJ84" i="88" s="1"/>
  <c r="I92" i="86"/>
  <c r="AI84" i="88" s="1"/>
  <c r="H92" i="86"/>
  <c r="J91" i="86"/>
  <c r="AJ83" i="88" s="1"/>
  <c r="I91" i="86"/>
  <c r="AI83" i="88" s="1"/>
  <c r="H91" i="86"/>
  <c r="AH83" i="88" s="1"/>
  <c r="J90" i="86"/>
  <c r="AJ82" i="88" s="1"/>
  <c r="I90" i="86"/>
  <c r="AI82" i="88" s="1"/>
  <c r="H90" i="86"/>
  <c r="J89" i="86"/>
  <c r="AJ81" i="88" s="1"/>
  <c r="I89" i="86"/>
  <c r="AI81" i="88" s="1"/>
  <c r="H89" i="86"/>
  <c r="AH81" i="88" s="1"/>
  <c r="J88" i="86"/>
  <c r="AJ80" i="88" s="1"/>
  <c r="I88" i="86"/>
  <c r="AI80" i="88" s="1"/>
  <c r="H88" i="86"/>
  <c r="AH80" i="88" s="1"/>
  <c r="J87" i="86"/>
  <c r="AJ79" i="88" s="1"/>
  <c r="I87" i="86"/>
  <c r="AI79" i="88" s="1"/>
  <c r="H87" i="86"/>
  <c r="J86" i="86"/>
  <c r="AJ78" i="88" s="1"/>
  <c r="I86" i="86"/>
  <c r="AI78" i="88" s="1"/>
  <c r="H86" i="86"/>
  <c r="J85" i="86"/>
  <c r="AJ77" i="88" s="1"/>
  <c r="I85" i="86"/>
  <c r="AI77" i="88" s="1"/>
  <c r="H85" i="86"/>
  <c r="J84" i="86"/>
  <c r="AJ76" i="88" s="1"/>
  <c r="I84" i="86"/>
  <c r="AI76" i="88" s="1"/>
  <c r="H84" i="86"/>
  <c r="J83" i="86"/>
  <c r="AJ75" i="88" s="1"/>
  <c r="I83" i="86"/>
  <c r="AI75" i="88" s="1"/>
  <c r="H83" i="86"/>
  <c r="AH75" i="88" s="1"/>
  <c r="J82" i="86"/>
  <c r="AJ74" i="88" s="1"/>
  <c r="I82" i="86"/>
  <c r="AI74" i="88" s="1"/>
  <c r="H82" i="86"/>
  <c r="J81" i="86"/>
  <c r="AJ73" i="88" s="1"/>
  <c r="I81" i="86"/>
  <c r="AI73" i="88" s="1"/>
  <c r="H81" i="86"/>
  <c r="AH73" i="88" s="1"/>
  <c r="V80" i="86"/>
  <c r="V76" i="86" s="1"/>
  <c r="U80" i="86"/>
  <c r="U76" i="86" s="1"/>
  <c r="T80" i="86"/>
  <c r="T76" i="86" s="1"/>
  <c r="S80" i="86"/>
  <c r="S76" i="86" s="1"/>
  <c r="R80" i="86"/>
  <c r="R76" i="86" s="1"/>
  <c r="Q80" i="86"/>
  <c r="Q76" i="86" s="1"/>
  <c r="P80" i="86"/>
  <c r="P76" i="86" s="1"/>
  <c r="O80" i="86"/>
  <c r="O76" i="86" s="1"/>
  <c r="N80" i="86"/>
  <c r="N76" i="86" s="1"/>
  <c r="M80" i="86"/>
  <c r="M76" i="86" s="1"/>
  <c r="L80" i="86"/>
  <c r="L76" i="86" s="1"/>
  <c r="K80" i="86"/>
  <c r="K76" i="86" s="1"/>
  <c r="J79" i="86"/>
  <c r="AJ71" i="88" s="1"/>
  <c r="I79" i="86"/>
  <c r="AI71" i="88" s="1"/>
  <c r="AJ70" i="88"/>
  <c r="AI70" i="88"/>
  <c r="J77" i="86"/>
  <c r="AJ69" i="88" s="1"/>
  <c r="I77" i="86"/>
  <c r="AI69" i="88" s="1"/>
  <c r="H77" i="86"/>
  <c r="AH69" i="88" s="1"/>
  <c r="J75" i="86"/>
  <c r="AJ67" i="88" s="1"/>
  <c r="I75" i="86"/>
  <c r="AI67" i="88" s="1"/>
  <c r="H75" i="86"/>
  <c r="AH67" i="88" s="1"/>
  <c r="J74" i="86"/>
  <c r="AJ66" i="88" s="1"/>
  <c r="I74" i="86"/>
  <c r="AI66" i="88" s="1"/>
  <c r="H74" i="86"/>
  <c r="AH66" i="88" s="1"/>
  <c r="J70" i="86"/>
  <c r="AJ65" i="88" s="1"/>
  <c r="I70" i="86"/>
  <c r="AI65" i="88" s="1"/>
  <c r="H70" i="86"/>
  <c r="AH65" i="88" s="1"/>
  <c r="J69" i="86"/>
  <c r="AJ64" i="88" s="1"/>
  <c r="I69" i="86"/>
  <c r="AI64" i="88" s="1"/>
  <c r="H69" i="86"/>
  <c r="AH64" i="88" s="1"/>
  <c r="J68" i="86"/>
  <c r="AJ63" i="88" s="1"/>
  <c r="I68" i="86"/>
  <c r="AI63" i="88" s="1"/>
  <c r="H68" i="86"/>
  <c r="AH63" i="88" s="1"/>
  <c r="J67" i="86"/>
  <c r="AJ62" i="88" s="1"/>
  <c r="I67" i="86"/>
  <c r="AI62" i="88" s="1"/>
  <c r="H67" i="86"/>
  <c r="AH62" i="88" s="1"/>
  <c r="J66" i="86"/>
  <c r="AJ61" i="88" s="1"/>
  <c r="I66" i="86"/>
  <c r="AI61" i="88" s="1"/>
  <c r="H66" i="86"/>
  <c r="AH61" i="88" s="1"/>
  <c r="J65" i="86"/>
  <c r="AJ60" i="88" s="1"/>
  <c r="I65" i="86"/>
  <c r="AI60" i="88" s="1"/>
  <c r="H65" i="86"/>
  <c r="AH60" i="88" s="1"/>
  <c r="J64" i="86"/>
  <c r="AJ59" i="88" s="1"/>
  <c r="I64" i="86"/>
  <c r="AI59" i="88" s="1"/>
  <c r="H64" i="86"/>
  <c r="AH59" i="88" s="1"/>
  <c r="J63" i="86"/>
  <c r="AJ58" i="88" s="1"/>
  <c r="I63" i="86"/>
  <c r="AI58" i="88" s="1"/>
  <c r="H63" i="86"/>
  <c r="AH58" i="88" s="1"/>
  <c r="J62" i="86"/>
  <c r="AJ57" i="88" s="1"/>
  <c r="I62" i="86"/>
  <c r="AI57" i="88" s="1"/>
  <c r="H62" i="86"/>
  <c r="V61" i="86"/>
  <c r="U61" i="86"/>
  <c r="T61" i="86"/>
  <c r="S61" i="86"/>
  <c r="R61" i="86"/>
  <c r="Q61" i="86"/>
  <c r="P61" i="86"/>
  <c r="O61" i="86"/>
  <c r="N61" i="86"/>
  <c r="M61" i="86"/>
  <c r="L61" i="86"/>
  <c r="K61" i="86"/>
  <c r="J60" i="86"/>
  <c r="AJ55" i="88" s="1"/>
  <c r="I60" i="86"/>
  <c r="AI55" i="88" s="1"/>
  <c r="H60" i="86"/>
  <c r="AH55" i="88" s="1"/>
  <c r="J59" i="86"/>
  <c r="AJ54" i="88" s="1"/>
  <c r="I59" i="86"/>
  <c r="AI54" i="88" s="1"/>
  <c r="H59" i="86"/>
  <c r="AH54" i="88" s="1"/>
  <c r="J58" i="86"/>
  <c r="AJ53" i="88" s="1"/>
  <c r="I58" i="86"/>
  <c r="AI53" i="88" s="1"/>
  <c r="H58" i="86"/>
  <c r="AH53" i="88" s="1"/>
  <c r="J57" i="86"/>
  <c r="AJ52" i="88" s="1"/>
  <c r="I57" i="86"/>
  <c r="AI52" i="88" s="1"/>
  <c r="H57" i="86"/>
  <c r="AH52" i="88" s="1"/>
  <c r="J56" i="86"/>
  <c r="AJ51" i="88" s="1"/>
  <c r="I56" i="86"/>
  <c r="AI51" i="88" s="1"/>
  <c r="H56" i="86"/>
  <c r="J55" i="86"/>
  <c r="AJ50" i="88" s="1"/>
  <c r="I55" i="86"/>
  <c r="AI50" i="88" s="1"/>
  <c r="H55" i="86"/>
  <c r="AH50" i="88" s="1"/>
  <c r="J54" i="86"/>
  <c r="AJ49" i="88" s="1"/>
  <c r="I54" i="86"/>
  <c r="AI49" i="88" s="1"/>
  <c r="H54" i="86"/>
  <c r="AH49" i="88" s="1"/>
  <c r="J53" i="86"/>
  <c r="AJ48" i="88" s="1"/>
  <c r="I53" i="86"/>
  <c r="AI48" i="88" s="1"/>
  <c r="H53" i="86"/>
  <c r="AH48" i="88" s="1"/>
  <c r="V52" i="86"/>
  <c r="U52" i="86"/>
  <c r="S52" i="86"/>
  <c r="R52" i="86"/>
  <c r="Q52" i="86"/>
  <c r="P52" i="86"/>
  <c r="O52" i="86"/>
  <c r="N52" i="86"/>
  <c r="M52" i="86"/>
  <c r="J52" i="86" s="1"/>
  <c r="AJ47" i="88" s="1"/>
  <c r="L52" i="86"/>
  <c r="K52" i="86"/>
  <c r="J51" i="86"/>
  <c r="AJ46" i="88" s="1"/>
  <c r="I51" i="86"/>
  <c r="AI46" i="88" s="1"/>
  <c r="H51" i="86"/>
  <c r="AH46" i="88" s="1"/>
  <c r="J50" i="86"/>
  <c r="AJ45" i="88" s="1"/>
  <c r="I50" i="86"/>
  <c r="AI45" i="88" s="1"/>
  <c r="H50" i="86"/>
  <c r="AH45" i="88" s="1"/>
  <c r="J49" i="86"/>
  <c r="AJ44" i="88" s="1"/>
  <c r="I49" i="86"/>
  <c r="AI44" i="88" s="1"/>
  <c r="H49" i="86"/>
  <c r="AH44" i="88" s="1"/>
  <c r="J48" i="86"/>
  <c r="AJ43" i="88" s="1"/>
  <c r="I48" i="86"/>
  <c r="AI43" i="88" s="1"/>
  <c r="H48" i="86"/>
  <c r="AH43" i="88" s="1"/>
  <c r="J47" i="86"/>
  <c r="AJ42" i="88" s="1"/>
  <c r="I47" i="86"/>
  <c r="AI42" i="88" s="1"/>
  <c r="H47" i="86"/>
  <c r="AH42" i="88" s="1"/>
  <c r="J46" i="86"/>
  <c r="AJ41" i="88" s="1"/>
  <c r="I46" i="86"/>
  <c r="AI41" i="88" s="1"/>
  <c r="H46" i="86"/>
  <c r="AH41" i="88" s="1"/>
  <c r="H45" i="86"/>
  <c r="AH40" i="88" s="1"/>
  <c r="J44" i="86"/>
  <c r="I44" i="86"/>
  <c r="H44" i="86"/>
  <c r="AH39" i="88" s="1"/>
  <c r="V43" i="86"/>
  <c r="V42" i="86" s="1"/>
  <c r="U43" i="86"/>
  <c r="U42" i="86" s="1"/>
  <c r="S43" i="86"/>
  <c r="R43" i="86"/>
  <c r="R26" i="86" s="1"/>
  <c r="R15" i="86" s="1"/>
  <c r="Q43" i="86"/>
  <c r="Q42" i="86" s="1"/>
  <c r="P43" i="86"/>
  <c r="P26" i="86" s="1"/>
  <c r="P15" i="86" s="1"/>
  <c r="O43" i="86"/>
  <c r="N43" i="86"/>
  <c r="M43" i="86"/>
  <c r="J43" i="86" s="1"/>
  <c r="AJ38" i="88" s="1"/>
  <c r="L43" i="86"/>
  <c r="K43" i="86"/>
  <c r="J41" i="86"/>
  <c r="AJ36" i="88" s="1"/>
  <c r="I41" i="86"/>
  <c r="AI36" i="88" s="1"/>
  <c r="H41" i="86"/>
  <c r="AH36" i="88" s="1"/>
  <c r="J40" i="86"/>
  <c r="AJ35" i="88" s="1"/>
  <c r="I40" i="86"/>
  <c r="AI35" i="88" s="1"/>
  <c r="H40" i="86"/>
  <c r="AH35" i="88" s="1"/>
  <c r="J39" i="86"/>
  <c r="AJ34" i="88" s="1"/>
  <c r="I39" i="86"/>
  <c r="AI34" i="88" s="1"/>
  <c r="H39" i="86"/>
  <c r="AH34" i="88" s="1"/>
  <c r="J38" i="86"/>
  <c r="AJ33" i="88" s="1"/>
  <c r="I38" i="86"/>
  <c r="AI33" i="88" s="1"/>
  <c r="H38" i="86"/>
  <c r="AH33" i="88" s="1"/>
  <c r="J37" i="86"/>
  <c r="AJ32" i="88" s="1"/>
  <c r="I37" i="86"/>
  <c r="AI32" i="88" s="1"/>
  <c r="H37" i="86"/>
  <c r="AH32" i="88" s="1"/>
  <c r="J36" i="86"/>
  <c r="AJ31" i="88" s="1"/>
  <c r="I36" i="86"/>
  <c r="AI31" i="88" s="1"/>
  <c r="H36" i="86"/>
  <c r="AH31" i="88" s="1"/>
  <c r="J35" i="86"/>
  <c r="AJ30" i="88" s="1"/>
  <c r="I35" i="86"/>
  <c r="AI30" i="88" s="1"/>
  <c r="H35" i="86"/>
  <c r="AH30" i="88" s="1"/>
  <c r="J34" i="86"/>
  <c r="AJ29" i="88" s="1"/>
  <c r="I34" i="86"/>
  <c r="AI29" i="88" s="1"/>
  <c r="H34" i="86"/>
  <c r="AH29" i="88" s="1"/>
  <c r="J33" i="86"/>
  <c r="AJ28" i="88" s="1"/>
  <c r="I33" i="86"/>
  <c r="AI28" i="88" s="1"/>
  <c r="H33" i="86"/>
  <c r="AH28" i="88" s="1"/>
  <c r="J32" i="86"/>
  <c r="I32" i="86"/>
  <c r="H32" i="86"/>
  <c r="H64" i="15" s="1"/>
  <c r="H62" i="15" s="1"/>
  <c r="J31" i="86"/>
  <c r="AJ26" i="88" s="1"/>
  <c r="I31" i="86"/>
  <c r="AI26" i="88" s="1"/>
  <c r="H31" i="86"/>
  <c r="AH26" i="88" s="1"/>
  <c r="J30" i="86"/>
  <c r="AJ25" i="88" s="1"/>
  <c r="I30" i="86"/>
  <c r="AI25" i="88" s="1"/>
  <c r="H30" i="86"/>
  <c r="AH25" i="88" s="1"/>
  <c r="J28" i="86"/>
  <c r="I28" i="86"/>
  <c r="AI24" i="88" s="1"/>
  <c r="J27" i="86"/>
  <c r="AJ23" i="88" s="1"/>
  <c r="I27" i="86"/>
  <c r="AI23" i="88" s="1"/>
  <c r="H27" i="86"/>
  <c r="AH23" i="88" s="1"/>
  <c r="J25" i="86"/>
  <c r="AJ21" i="88" s="1"/>
  <c r="I25" i="86"/>
  <c r="AI21" i="88" s="1"/>
  <c r="H25" i="86"/>
  <c r="AH21" i="88" s="1"/>
  <c r="J24" i="86"/>
  <c r="AJ20" i="88" s="1"/>
  <c r="I24" i="86"/>
  <c r="AI20" i="88" s="1"/>
  <c r="H24" i="86"/>
  <c r="AH20" i="88" s="1"/>
  <c r="J23" i="86"/>
  <c r="AJ19" i="88" s="1"/>
  <c r="I23" i="86"/>
  <c r="AI19" i="88" s="1"/>
  <c r="H23" i="86"/>
  <c r="AH19" i="88" s="1"/>
  <c r="J22" i="86"/>
  <c r="AJ18" i="88" s="1"/>
  <c r="I22" i="86"/>
  <c r="AI18" i="88" s="1"/>
  <c r="H22" i="86"/>
  <c r="AH18" i="88" s="1"/>
  <c r="J21" i="86"/>
  <c r="AJ17" i="88" s="1"/>
  <c r="I21" i="86"/>
  <c r="AI17" i="88" s="1"/>
  <c r="H21" i="86"/>
  <c r="AH17" i="88" s="1"/>
  <c r="J20" i="86"/>
  <c r="AJ16" i="88" s="1"/>
  <c r="I20" i="86"/>
  <c r="AI16" i="88" s="1"/>
  <c r="H20" i="86"/>
  <c r="AH16" i="88" s="1"/>
  <c r="J19" i="86"/>
  <c r="AJ15" i="88" s="1"/>
  <c r="I19" i="86"/>
  <c r="AI15" i="88" s="1"/>
  <c r="H19" i="86"/>
  <c r="AH15" i="88" s="1"/>
  <c r="J18" i="86"/>
  <c r="AJ14" i="88" s="1"/>
  <c r="I18" i="86"/>
  <c r="AI14" i="88" s="1"/>
  <c r="H18" i="86"/>
  <c r="AH14" i="88" s="1"/>
  <c r="J17" i="86"/>
  <c r="AJ13" i="88" s="1"/>
  <c r="I17" i="86"/>
  <c r="AI13" i="88" s="1"/>
  <c r="H17" i="86"/>
  <c r="AH13" i="88" s="1"/>
  <c r="J16" i="86"/>
  <c r="AJ12" i="88" s="1"/>
  <c r="I16" i="86"/>
  <c r="AI12" i="88" s="1"/>
  <c r="H16" i="86"/>
  <c r="AH12" i="88" s="1"/>
  <c r="AJ10" i="88"/>
  <c r="AI10" i="88"/>
  <c r="AH10" i="88"/>
  <c r="AJ9" i="88"/>
  <c r="AI9" i="88"/>
  <c r="J104" i="85"/>
  <c r="AA96" i="88" s="1"/>
  <c r="I104" i="85"/>
  <c r="Z96" i="88" s="1"/>
  <c r="H104" i="85"/>
  <c r="J103" i="85"/>
  <c r="AA95" i="88" s="1"/>
  <c r="I103" i="85"/>
  <c r="Z95" i="88" s="1"/>
  <c r="H103" i="85"/>
  <c r="J102" i="85"/>
  <c r="AA94" i="88" s="1"/>
  <c r="I102" i="85"/>
  <c r="Z94" i="88" s="1"/>
  <c r="H102" i="85"/>
  <c r="J101" i="85"/>
  <c r="AA93" i="88" s="1"/>
  <c r="I101" i="85"/>
  <c r="Z93" i="88" s="1"/>
  <c r="H101" i="85"/>
  <c r="J100" i="85"/>
  <c r="AA92" i="88" s="1"/>
  <c r="I100" i="85"/>
  <c r="Z92" i="88" s="1"/>
  <c r="H100" i="85"/>
  <c r="J99" i="85"/>
  <c r="AA91" i="88" s="1"/>
  <c r="I99" i="85"/>
  <c r="Z91" i="88" s="1"/>
  <c r="H99" i="85"/>
  <c r="J98" i="85"/>
  <c r="AA90" i="88" s="1"/>
  <c r="I98" i="85"/>
  <c r="Z90" i="88" s="1"/>
  <c r="H98" i="85"/>
  <c r="J97" i="85"/>
  <c r="AA89" i="88" s="1"/>
  <c r="I97" i="85"/>
  <c r="Z89" i="88" s="1"/>
  <c r="H97" i="85"/>
  <c r="J96" i="85"/>
  <c r="AA88" i="88" s="1"/>
  <c r="I96" i="85"/>
  <c r="Z88" i="88" s="1"/>
  <c r="H96" i="85"/>
  <c r="J95" i="85"/>
  <c r="AA87" i="88" s="1"/>
  <c r="I95" i="85"/>
  <c r="Z87" i="88" s="1"/>
  <c r="H95" i="85"/>
  <c r="J94" i="85"/>
  <c r="AA86" i="88" s="1"/>
  <c r="I94" i="85"/>
  <c r="Z86" i="88" s="1"/>
  <c r="H94" i="85"/>
  <c r="J93" i="85"/>
  <c r="AA85" i="88" s="1"/>
  <c r="I93" i="85"/>
  <c r="Z85" i="88" s="1"/>
  <c r="H93" i="85"/>
  <c r="J92" i="85"/>
  <c r="AA84" i="88" s="1"/>
  <c r="H92" i="85"/>
  <c r="I92" i="85"/>
  <c r="Z84" i="88" s="1"/>
  <c r="J91" i="85"/>
  <c r="AA83" i="88" s="1"/>
  <c r="H91" i="85"/>
  <c r="I91" i="85"/>
  <c r="Z83" i="88" s="1"/>
  <c r="J90" i="85"/>
  <c r="AA82" i="88" s="1"/>
  <c r="I90" i="85"/>
  <c r="Z82" i="88" s="1"/>
  <c r="H90" i="85"/>
  <c r="J89" i="85"/>
  <c r="AA81" i="88" s="1"/>
  <c r="I89" i="85"/>
  <c r="Z81" i="88" s="1"/>
  <c r="H89" i="85"/>
  <c r="J88" i="85"/>
  <c r="AA80" i="88" s="1"/>
  <c r="I88" i="85"/>
  <c r="Z80" i="88" s="1"/>
  <c r="H88" i="85"/>
  <c r="H87" i="85"/>
  <c r="J87" i="85"/>
  <c r="AA79" i="88" s="1"/>
  <c r="I87" i="85"/>
  <c r="Z79" i="88" s="1"/>
  <c r="J86" i="85"/>
  <c r="AA78" i="88" s="1"/>
  <c r="I86" i="85"/>
  <c r="Z78" i="88" s="1"/>
  <c r="H86" i="85"/>
  <c r="J85" i="85"/>
  <c r="AA77" i="88" s="1"/>
  <c r="I85" i="85"/>
  <c r="Z77" i="88" s="1"/>
  <c r="H85" i="85"/>
  <c r="I84" i="85"/>
  <c r="Z76" i="88" s="1"/>
  <c r="J84" i="85"/>
  <c r="AA76" i="88" s="1"/>
  <c r="H84" i="85"/>
  <c r="J83" i="85"/>
  <c r="AA75" i="88" s="1"/>
  <c r="I83" i="85"/>
  <c r="Z75" i="88" s="1"/>
  <c r="H83" i="85"/>
  <c r="J82" i="85"/>
  <c r="AA74" i="88" s="1"/>
  <c r="I82" i="85"/>
  <c r="Z74" i="88" s="1"/>
  <c r="H82" i="85"/>
  <c r="J81" i="85"/>
  <c r="AA73" i="88" s="1"/>
  <c r="I81" i="85"/>
  <c r="Z73" i="88" s="1"/>
  <c r="H81" i="85"/>
  <c r="V80" i="85"/>
  <c r="V76" i="85" s="1"/>
  <c r="U80" i="85"/>
  <c r="U76" i="85" s="1"/>
  <c r="T80" i="85"/>
  <c r="T76" i="85" s="1"/>
  <c r="S80" i="85"/>
  <c r="S76" i="85" s="1"/>
  <c r="R80" i="85"/>
  <c r="R76" i="85" s="1"/>
  <c r="Q80" i="85"/>
  <c r="Q76" i="85" s="1"/>
  <c r="P80" i="85"/>
  <c r="P76" i="85" s="1"/>
  <c r="O80" i="85"/>
  <c r="O76" i="85" s="1"/>
  <c r="N80" i="85"/>
  <c r="N76" i="85" s="1"/>
  <c r="M80" i="85"/>
  <c r="M76" i="85" s="1"/>
  <c r="L80" i="85"/>
  <c r="L76" i="85" s="1"/>
  <c r="K80" i="85"/>
  <c r="K76" i="85" s="1"/>
  <c r="J79" i="85"/>
  <c r="AA71" i="88" s="1"/>
  <c r="I79" i="85"/>
  <c r="Z71" i="88" s="1"/>
  <c r="H79" i="85"/>
  <c r="AA70" i="88"/>
  <c r="Z70" i="88"/>
  <c r="Y70" i="88"/>
  <c r="J77" i="85"/>
  <c r="AA69" i="88" s="1"/>
  <c r="I77" i="85"/>
  <c r="Z69" i="88" s="1"/>
  <c r="H77" i="85"/>
  <c r="J75" i="85"/>
  <c r="I75" i="85"/>
  <c r="H75" i="85"/>
  <c r="J74" i="85"/>
  <c r="AA66" i="88" s="1"/>
  <c r="I74" i="85"/>
  <c r="Z66" i="88" s="1"/>
  <c r="H74" i="85"/>
  <c r="J70" i="85"/>
  <c r="AA65" i="88" s="1"/>
  <c r="I70" i="85"/>
  <c r="Z65" i="88" s="1"/>
  <c r="H70" i="85"/>
  <c r="J69" i="85"/>
  <c r="AA64" i="88" s="1"/>
  <c r="I69" i="85"/>
  <c r="Z64" i="88" s="1"/>
  <c r="H69" i="85"/>
  <c r="J68" i="85"/>
  <c r="AA63" i="88" s="1"/>
  <c r="I68" i="85"/>
  <c r="Z63" i="88" s="1"/>
  <c r="H68" i="85"/>
  <c r="J67" i="85"/>
  <c r="AA62" i="88" s="1"/>
  <c r="I67" i="85"/>
  <c r="Z62" i="88" s="1"/>
  <c r="H67" i="85"/>
  <c r="J66" i="85"/>
  <c r="AA61" i="88" s="1"/>
  <c r="I66" i="85"/>
  <c r="Z61" i="88" s="1"/>
  <c r="H66" i="85"/>
  <c r="J65" i="85"/>
  <c r="AA60" i="88" s="1"/>
  <c r="I65" i="85"/>
  <c r="Z60" i="88" s="1"/>
  <c r="H65" i="85"/>
  <c r="J64" i="85"/>
  <c r="AA59" i="88" s="1"/>
  <c r="I64" i="85"/>
  <c r="Z59" i="88" s="1"/>
  <c r="H64" i="85"/>
  <c r="J63" i="85"/>
  <c r="AA58" i="88" s="1"/>
  <c r="I63" i="85"/>
  <c r="Z58" i="88" s="1"/>
  <c r="H63" i="85"/>
  <c r="Q61" i="85"/>
  <c r="H62" i="85"/>
  <c r="J62" i="85"/>
  <c r="AA57" i="88" s="1"/>
  <c r="I62" i="85"/>
  <c r="Z57" i="88" s="1"/>
  <c r="V61" i="85"/>
  <c r="U61" i="85"/>
  <c r="T61" i="85"/>
  <c r="S61" i="85"/>
  <c r="R61" i="85"/>
  <c r="P61" i="85"/>
  <c r="O61" i="85"/>
  <c r="N61" i="85"/>
  <c r="M61" i="85"/>
  <c r="J61" i="85" s="1"/>
  <c r="AA56" i="88" s="1"/>
  <c r="L61" i="85"/>
  <c r="K61" i="85"/>
  <c r="J60" i="85"/>
  <c r="AA55" i="88" s="1"/>
  <c r="I60" i="85"/>
  <c r="Z55" i="88" s="1"/>
  <c r="H60" i="85"/>
  <c r="J59" i="85"/>
  <c r="AA54" i="88" s="1"/>
  <c r="I59" i="85"/>
  <c r="Z54" i="88" s="1"/>
  <c r="H59" i="85"/>
  <c r="J58" i="85"/>
  <c r="AA53" i="88" s="1"/>
  <c r="I58" i="85"/>
  <c r="Z53" i="88" s="1"/>
  <c r="H58" i="85"/>
  <c r="J57" i="85"/>
  <c r="AA52" i="88" s="1"/>
  <c r="I57" i="85"/>
  <c r="Z52" i="88" s="1"/>
  <c r="H57" i="85"/>
  <c r="J56" i="85"/>
  <c r="AA51" i="88" s="1"/>
  <c r="I56" i="85"/>
  <c r="Z51" i="88" s="1"/>
  <c r="H56" i="85"/>
  <c r="J55" i="85"/>
  <c r="AA50" i="88" s="1"/>
  <c r="I55" i="85"/>
  <c r="Z50" i="88" s="1"/>
  <c r="H55" i="85"/>
  <c r="J54" i="85"/>
  <c r="AA49" i="88" s="1"/>
  <c r="I54" i="85"/>
  <c r="Z49" i="88" s="1"/>
  <c r="H54" i="85"/>
  <c r="J53" i="85"/>
  <c r="AA48" i="88" s="1"/>
  <c r="I53" i="85"/>
  <c r="Z48" i="88" s="1"/>
  <c r="H53" i="85"/>
  <c r="V52" i="85"/>
  <c r="U52" i="85"/>
  <c r="T52" i="85"/>
  <c r="S52" i="85"/>
  <c r="R52" i="85"/>
  <c r="Q52" i="85"/>
  <c r="P52" i="85"/>
  <c r="N52" i="85"/>
  <c r="M52" i="85"/>
  <c r="L52" i="85"/>
  <c r="K52" i="85"/>
  <c r="O52" i="85"/>
  <c r="J51" i="85"/>
  <c r="AA46" i="88" s="1"/>
  <c r="I51" i="85"/>
  <c r="Z46" i="88" s="1"/>
  <c r="H51" i="85"/>
  <c r="J50" i="85"/>
  <c r="AA45" i="88" s="1"/>
  <c r="I50" i="85"/>
  <c r="Z45" i="88" s="1"/>
  <c r="H50" i="85"/>
  <c r="J49" i="85"/>
  <c r="AA44" i="88" s="1"/>
  <c r="I49" i="85"/>
  <c r="Z44" i="88" s="1"/>
  <c r="H49" i="85"/>
  <c r="J48" i="85"/>
  <c r="AA43" i="88" s="1"/>
  <c r="I48" i="85"/>
  <c r="Z43" i="88" s="1"/>
  <c r="H48" i="85"/>
  <c r="J47" i="85"/>
  <c r="AA42" i="88" s="1"/>
  <c r="I47" i="85"/>
  <c r="Z42" i="88" s="1"/>
  <c r="H47" i="85"/>
  <c r="J46" i="85"/>
  <c r="AA41" i="88" s="1"/>
  <c r="I46" i="85"/>
  <c r="Z41" i="88" s="1"/>
  <c r="H46" i="85"/>
  <c r="H45" i="85"/>
  <c r="J41" i="85"/>
  <c r="AA36" i="88" s="1"/>
  <c r="I41" i="85"/>
  <c r="Z36" i="88" s="1"/>
  <c r="H41" i="85"/>
  <c r="Y36" i="88" s="1"/>
  <c r="J40" i="85"/>
  <c r="AA35" i="88" s="1"/>
  <c r="I40" i="85"/>
  <c r="Z35" i="88" s="1"/>
  <c r="H40" i="85"/>
  <c r="Y35" i="88" s="1"/>
  <c r="J39" i="85"/>
  <c r="AA34" i="88" s="1"/>
  <c r="I39" i="85"/>
  <c r="Z34" i="88" s="1"/>
  <c r="H39" i="85"/>
  <c r="Y34" i="88" s="1"/>
  <c r="J38" i="85"/>
  <c r="AA33" i="88" s="1"/>
  <c r="I38" i="85"/>
  <c r="Z33" i="88" s="1"/>
  <c r="H38" i="85"/>
  <c r="Y33" i="88" s="1"/>
  <c r="J37" i="85"/>
  <c r="AA32" i="88" s="1"/>
  <c r="I37" i="85"/>
  <c r="Z32" i="88" s="1"/>
  <c r="H37" i="85"/>
  <c r="Y32" i="88" s="1"/>
  <c r="J36" i="85"/>
  <c r="AA31" i="88" s="1"/>
  <c r="I36" i="85"/>
  <c r="Z31" i="88" s="1"/>
  <c r="H36" i="85"/>
  <c r="Y31" i="88" s="1"/>
  <c r="J35" i="85"/>
  <c r="AA30" i="88" s="1"/>
  <c r="I35" i="85"/>
  <c r="Z30" i="88" s="1"/>
  <c r="H35" i="85"/>
  <c r="Y30" i="88" s="1"/>
  <c r="J34" i="85"/>
  <c r="AA29" i="88" s="1"/>
  <c r="I34" i="85"/>
  <c r="Z29" i="88" s="1"/>
  <c r="H34" i="85"/>
  <c r="Y29" i="88" s="1"/>
  <c r="J33" i="85"/>
  <c r="AA28" i="88" s="1"/>
  <c r="I33" i="85"/>
  <c r="Z28" i="88" s="1"/>
  <c r="H33" i="85"/>
  <c r="Y28" i="88" s="1"/>
  <c r="J32" i="85"/>
  <c r="AA27" i="88" s="1"/>
  <c r="I32" i="85"/>
  <c r="Z27" i="88" s="1"/>
  <c r="H32" i="85"/>
  <c r="Y27" i="88" s="1"/>
  <c r="J31" i="85"/>
  <c r="AA26" i="88" s="1"/>
  <c r="I31" i="85"/>
  <c r="Z26" i="88" s="1"/>
  <c r="H31" i="85"/>
  <c r="J30" i="85"/>
  <c r="AA25" i="88" s="1"/>
  <c r="I30" i="85"/>
  <c r="Z25" i="88" s="1"/>
  <c r="H30" i="85"/>
  <c r="J28" i="85"/>
  <c r="AA24" i="88" s="1"/>
  <c r="I28" i="85"/>
  <c r="Z24" i="88" s="1"/>
  <c r="H28" i="85"/>
  <c r="J27" i="85"/>
  <c r="AA23" i="88" s="1"/>
  <c r="I27" i="85"/>
  <c r="Z23" i="88" s="1"/>
  <c r="H27" i="85"/>
  <c r="Y23" i="88" s="1"/>
  <c r="J26" i="85"/>
  <c r="AA22" i="88" s="1"/>
  <c r="I26" i="85"/>
  <c r="Z22" i="88" s="1"/>
  <c r="H26" i="85"/>
  <c r="J25" i="85"/>
  <c r="AA21" i="88" s="1"/>
  <c r="I25" i="85"/>
  <c r="Z21" i="88" s="1"/>
  <c r="H25" i="85"/>
  <c r="J24" i="85"/>
  <c r="AA20" i="88" s="1"/>
  <c r="I24" i="85"/>
  <c r="Z20" i="88" s="1"/>
  <c r="H24" i="85"/>
  <c r="J23" i="85"/>
  <c r="AA19" i="88" s="1"/>
  <c r="H23" i="85"/>
  <c r="J22" i="85"/>
  <c r="AA18" i="88" s="1"/>
  <c r="I22" i="85"/>
  <c r="Z18" i="88" s="1"/>
  <c r="H22" i="85"/>
  <c r="H21" i="85"/>
  <c r="J21" i="85"/>
  <c r="AA17" i="88" s="1"/>
  <c r="I21" i="85"/>
  <c r="Z17" i="88" s="1"/>
  <c r="J20" i="85"/>
  <c r="AA16" i="88" s="1"/>
  <c r="I20" i="85"/>
  <c r="Z16" i="88" s="1"/>
  <c r="J19" i="85"/>
  <c r="I19" i="85"/>
  <c r="H19" i="85"/>
  <c r="J18" i="85"/>
  <c r="AA14" i="88" s="1"/>
  <c r="I18" i="85"/>
  <c r="Z14" i="88" s="1"/>
  <c r="H18" i="85"/>
  <c r="J17" i="85"/>
  <c r="AA13" i="88" s="1"/>
  <c r="I17" i="85"/>
  <c r="Z13" i="88" s="1"/>
  <c r="H17" i="85"/>
  <c r="J16" i="85"/>
  <c r="AA12" i="88" s="1"/>
  <c r="I16" i="85"/>
  <c r="Z12" i="88" s="1"/>
  <c r="H16" i="85"/>
  <c r="J14" i="85"/>
  <c r="AA10" i="88" s="1"/>
  <c r="I14" i="85"/>
  <c r="Z10" i="88" s="1"/>
  <c r="H14" i="85"/>
  <c r="Y10" i="88" s="1"/>
  <c r="S62" i="75"/>
  <c r="R62" i="75"/>
  <c r="P62" i="75"/>
  <c r="O62" i="75"/>
  <c r="M62" i="75"/>
  <c r="L62" i="75"/>
  <c r="U62" i="75"/>
  <c r="V62" i="75"/>
  <c r="J97" i="75"/>
  <c r="I87" i="88" s="1"/>
  <c r="I97" i="75"/>
  <c r="H87" i="88" s="1"/>
  <c r="J65" i="75"/>
  <c r="I59" i="88" s="1"/>
  <c r="J66" i="75"/>
  <c r="I60" i="88" s="1"/>
  <c r="I65" i="75"/>
  <c r="H59" i="88" s="1"/>
  <c r="I66" i="75"/>
  <c r="H60" i="88" s="1"/>
  <c r="H65" i="75"/>
  <c r="G59" i="88" s="1"/>
  <c r="H66" i="75"/>
  <c r="G60" i="88" s="1"/>
  <c r="V92" i="78"/>
  <c r="U92" i="78"/>
  <c r="T92" i="78"/>
  <c r="S92" i="78"/>
  <c r="R92" i="78"/>
  <c r="Q92" i="78"/>
  <c r="P92" i="78"/>
  <c r="O92" i="78"/>
  <c r="N92" i="78"/>
  <c r="M92" i="78"/>
  <c r="L92" i="78"/>
  <c r="K92" i="78"/>
  <c r="V48" i="78"/>
  <c r="U48" i="78"/>
  <c r="T48" i="78"/>
  <c r="S48" i="78"/>
  <c r="R48" i="78"/>
  <c r="Q48" i="78"/>
  <c r="P48" i="78"/>
  <c r="O48" i="78"/>
  <c r="N48" i="78"/>
  <c r="M48" i="78"/>
  <c r="L48" i="78"/>
  <c r="K48" i="78"/>
  <c r="V47" i="78"/>
  <c r="U47" i="78"/>
  <c r="T47" i="78"/>
  <c r="S47" i="78"/>
  <c r="R47" i="78"/>
  <c r="Q47" i="78"/>
  <c r="P47" i="78"/>
  <c r="O47" i="78"/>
  <c r="N47" i="78"/>
  <c r="M47" i="78"/>
  <c r="L47" i="78"/>
  <c r="K47" i="78"/>
  <c r="J93" i="68"/>
  <c r="J92" i="78" s="1"/>
  <c r="I93" i="68"/>
  <c r="I92" i="78" s="1"/>
  <c r="H93" i="68"/>
  <c r="H92" i="78" s="1"/>
  <c r="P44" i="68"/>
  <c r="O44" i="68"/>
  <c r="N44" i="68"/>
  <c r="M44" i="68"/>
  <c r="L44" i="68"/>
  <c r="J48" i="68"/>
  <c r="J48" i="78" s="1"/>
  <c r="R42" i="88" s="1"/>
  <c r="I48" i="68"/>
  <c r="I48" i="78" s="1"/>
  <c r="H48" i="68"/>
  <c r="H48" i="78" s="1"/>
  <c r="P42" i="88" s="1"/>
  <c r="H50" i="68"/>
  <c r="H50" i="78" s="1"/>
  <c r="P44" i="88" s="1"/>
  <c r="I50" i="68"/>
  <c r="J50" i="68"/>
  <c r="J50" i="78" s="1"/>
  <c r="R44" i="88" s="1"/>
  <c r="J47" i="68"/>
  <c r="J47" i="78" s="1"/>
  <c r="I47" i="68"/>
  <c r="I47" i="78" s="1"/>
  <c r="H47" i="68"/>
  <c r="H47" i="78" s="1"/>
  <c r="O31" i="83"/>
  <c r="N31" i="83"/>
  <c r="O30" i="83"/>
  <c r="O29" i="83"/>
  <c r="N29" i="83"/>
  <c r="O28" i="83"/>
  <c r="N28" i="83"/>
  <c r="O27" i="83"/>
  <c r="N27" i="83"/>
  <c r="O26" i="83"/>
  <c r="N26" i="83"/>
  <c r="O25" i="83"/>
  <c r="N25" i="83"/>
  <c r="O24" i="83"/>
  <c r="N24" i="83"/>
  <c r="O23" i="83"/>
  <c r="N23" i="83"/>
  <c r="O22" i="83"/>
  <c r="N22" i="83"/>
  <c r="O21" i="83"/>
  <c r="N21" i="83"/>
  <c r="O20" i="83"/>
  <c r="N20" i="83"/>
  <c r="O19" i="83"/>
  <c r="N19" i="83"/>
  <c r="O18" i="83"/>
  <c r="O17" i="83"/>
  <c r="O16" i="83"/>
  <c r="L34" i="83"/>
  <c r="K34" i="83"/>
  <c r="L33" i="83"/>
  <c r="K33" i="83"/>
  <c r="L31" i="83"/>
  <c r="K31" i="83"/>
  <c r="L30" i="83"/>
  <c r="L29" i="83"/>
  <c r="K29" i="83"/>
  <c r="L28" i="83"/>
  <c r="K28" i="83"/>
  <c r="L27" i="83"/>
  <c r="K27" i="83"/>
  <c r="L26" i="83"/>
  <c r="K26" i="83"/>
  <c r="L25" i="83"/>
  <c r="K25" i="83"/>
  <c r="L24" i="83"/>
  <c r="K24" i="83"/>
  <c r="L23" i="83"/>
  <c r="K23" i="83"/>
  <c r="L22" i="83"/>
  <c r="K22" i="83"/>
  <c r="L21" i="83"/>
  <c r="K21" i="83"/>
  <c r="L20" i="83"/>
  <c r="K20" i="83"/>
  <c r="L19" i="83"/>
  <c r="K19" i="83"/>
  <c r="K18" i="83"/>
  <c r="L17" i="83"/>
  <c r="K17" i="83"/>
  <c r="L16" i="83"/>
  <c r="K16" i="83"/>
  <c r="I33" i="83"/>
  <c r="H33" i="83"/>
  <c r="G33" i="83"/>
  <c r="F33" i="83"/>
  <c r="I31" i="83"/>
  <c r="H31" i="83"/>
  <c r="G31" i="83"/>
  <c r="F31" i="83"/>
  <c r="I30" i="83"/>
  <c r="H30" i="83"/>
  <c r="G30" i="83"/>
  <c r="F30" i="83"/>
  <c r="I29" i="83"/>
  <c r="H29" i="83"/>
  <c r="G29" i="83"/>
  <c r="F29" i="83"/>
  <c r="I28" i="83"/>
  <c r="H28" i="83"/>
  <c r="G28" i="83"/>
  <c r="F28" i="83"/>
  <c r="I27" i="83"/>
  <c r="H27" i="83"/>
  <c r="G27" i="83"/>
  <c r="F27" i="83"/>
  <c r="I26" i="83"/>
  <c r="H26" i="83"/>
  <c r="G26" i="83"/>
  <c r="F26" i="83"/>
  <c r="I25" i="83"/>
  <c r="H25" i="83"/>
  <c r="G25" i="83"/>
  <c r="F25" i="83"/>
  <c r="I24" i="83"/>
  <c r="H24" i="83"/>
  <c r="G24" i="83"/>
  <c r="F24" i="83"/>
  <c r="I23" i="83"/>
  <c r="H23" i="83"/>
  <c r="G23" i="83"/>
  <c r="F23" i="83"/>
  <c r="I22" i="83"/>
  <c r="H22" i="83"/>
  <c r="G22" i="83"/>
  <c r="F22" i="83"/>
  <c r="I21" i="83"/>
  <c r="H21" i="83"/>
  <c r="G21" i="83"/>
  <c r="F21" i="83"/>
  <c r="I20" i="83"/>
  <c r="H20" i="83"/>
  <c r="G20" i="83"/>
  <c r="F20" i="83"/>
  <c r="I19" i="83"/>
  <c r="H19" i="83"/>
  <c r="G19" i="83"/>
  <c r="I18" i="83"/>
  <c r="H18" i="83"/>
  <c r="G18" i="83"/>
  <c r="I17" i="83"/>
  <c r="H17" i="83"/>
  <c r="G17" i="83"/>
  <c r="F17" i="83"/>
  <c r="H16" i="83"/>
  <c r="F16" i="83"/>
  <c r="E33" i="83"/>
  <c r="E31" i="83"/>
  <c r="E29" i="83"/>
  <c r="E28" i="83"/>
  <c r="E27" i="83"/>
  <c r="E26" i="83"/>
  <c r="E25" i="83"/>
  <c r="E24" i="83"/>
  <c r="E23" i="83"/>
  <c r="E22" i="83"/>
  <c r="E21" i="83"/>
  <c r="E20" i="83"/>
  <c r="E17" i="83"/>
  <c r="J33" i="83"/>
  <c r="D33" i="83"/>
  <c r="C34" i="83"/>
  <c r="C33" i="83"/>
  <c r="C31" i="83"/>
  <c r="C30" i="83"/>
  <c r="C29" i="83"/>
  <c r="C28" i="83"/>
  <c r="C27" i="83"/>
  <c r="C26" i="83"/>
  <c r="C25" i="83"/>
  <c r="C24" i="83"/>
  <c r="C23" i="83"/>
  <c r="C22" i="83"/>
  <c r="C21" i="83"/>
  <c r="C20" i="83"/>
  <c r="C19" i="83"/>
  <c r="C18" i="83"/>
  <c r="C17" i="83"/>
  <c r="C16" i="83"/>
  <c r="C11" i="83"/>
  <c r="M32" i="82"/>
  <c r="J32" i="82"/>
  <c r="D32" i="82"/>
  <c r="Q32" i="82" s="1"/>
  <c r="N31" i="82"/>
  <c r="M31" i="82" s="1"/>
  <c r="J31" i="82"/>
  <c r="D31" i="82"/>
  <c r="M30" i="82"/>
  <c r="J30" i="82"/>
  <c r="D30" i="82"/>
  <c r="M29" i="82"/>
  <c r="J29" i="82"/>
  <c r="D29" i="82"/>
  <c r="M28" i="82"/>
  <c r="J28" i="82"/>
  <c r="D28" i="82"/>
  <c r="M27" i="82"/>
  <c r="J27" i="82"/>
  <c r="D27" i="82"/>
  <c r="M26" i="82"/>
  <c r="J26" i="82"/>
  <c r="D26" i="82"/>
  <c r="M25" i="82"/>
  <c r="J25" i="82"/>
  <c r="D25" i="82"/>
  <c r="M24" i="82"/>
  <c r="J24" i="82"/>
  <c r="D24" i="82"/>
  <c r="M23" i="82"/>
  <c r="J23" i="82"/>
  <c r="D23" i="82"/>
  <c r="M22" i="82"/>
  <c r="J22" i="82"/>
  <c r="D22" i="82"/>
  <c r="M21" i="82"/>
  <c r="J21" i="82"/>
  <c r="D21" i="82"/>
  <c r="M20" i="82"/>
  <c r="J20" i="82"/>
  <c r="D20" i="82"/>
  <c r="Q20" i="82" s="1"/>
  <c r="N19" i="82"/>
  <c r="M19" i="82" s="1"/>
  <c r="J19" i="82"/>
  <c r="D19" i="82"/>
  <c r="M18" i="82"/>
  <c r="M16" i="82" s="1"/>
  <c r="M14" i="82" s="1"/>
  <c r="J18" i="82"/>
  <c r="D18" i="82"/>
  <c r="M17" i="82"/>
  <c r="J17" i="82"/>
  <c r="J15" i="82" s="1"/>
  <c r="J13" i="82" s="1"/>
  <c r="D17" i="82"/>
  <c r="D15" i="82" s="1"/>
  <c r="D13" i="82" s="1"/>
  <c r="O16" i="82"/>
  <c r="N16" i="82"/>
  <c r="L16" i="82"/>
  <c r="K16" i="82"/>
  <c r="J16" i="82"/>
  <c r="I16" i="82"/>
  <c r="H16" i="82"/>
  <c r="G16" i="82"/>
  <c r="F16" i="82"/>
  <c r="E16" i="82"/>
  <c r="D16" i="82"/>
  <c r="D14" i="82" s="1"/>
  <c r="C16" i="82"/>
  <c r="O15" i="82"/>
  <c r="O13" i="82" s="1"/>
  <c r="L15" i="82"/>
  <c r="K15" i="82"/>
  <c r="I15" i="82"/>
  <c r="H15" i="82"/>
  <c r="G15" i="82"/>
  <c r="F15" i="82"/>
  <c r="E15" i="82"/>
  <c r="C15" i="82"/>
  <c r="O14" i="82"/>
  <c r="N14" i="82"/>
  <c r="L14" i="82"/>
  <c r="K14" i="82"/>
  <c r="J14" i="82"/>
  <c r="I14" i="82"/>
  <c r="H14" i="82"/>
  <c r="G14" i="82"/>
  <c r="F14" i="82"/>
  <c r="E14" i="82"/>
  <c r="C14" i="82"/>
  <c r="L13" i="82"/>
  <c r="L33" i="82" s="1"/>
  <c r="K13" i="82"/>
  <c r="K33" i="82" s="1"/>
  <c r="I13" i="82"/>
  <c r="H13" i="82"/>
  <c r="H33" i="82" s="1"/>
  <c r="G13" i="82"/>
  <c r="G33" i="82" s="1"/>
  <c r="F13" i="82"/>
  <c r="F33" i="82" s="1"/>
  <c r="E13" i="82"/>
  <c r="E33" i="82" s="1"/>
  <c r="C13" i="82"/>
  <c r="C33" i="82" s="1"/>
  <c r="J35" i="81"/>
  <c r="J34" i="83" s="1"/>
  <c r="Q34" i="81"/>
  <c r="M32" i="81"/>
  <c r="J32" i="81"/>
  <c r="D32" i="81"/>
  <c r="Q32" i="81"/>
  <c r="M31" i="81"/>
  <c r="K31" i="81"/>
  <c r="K30" i="83" s="1"/>
  <c r="E31" i="81"/>
  <c r="E30" i="83" s="1"/>
  <c r="M30" i="81"/>
  <c r="J30" i="81"/>
  <c r="D30" i="81"/>
  <c r="Q30" i="81" s="1"/>
  <c r="M29" i="81"/>
  <c r="J29" i="81"/>
  <c r="D29" i="81"/>
  <c r="M28" i="81"/>
  <c r="J28" i="81"/>
  <c r="D28" i="81"/>
  <c r="Q28" i="81" s="1"/>
  <c r="M27" i="81"/>
  <c r="J27" i="81"/>
  <c r="D27" i="81"/>
  <c r="M26" i="81"/>
  <c r="J26" i="81"/>
  <c r="D26" i="81"/>
  <c r="Q26" i="81" s="1"/>
  <c r="M25" i="81"/>
  <c r="J25" i="81"/>
  <c r="D25" i="81"/>
  <c r="M24" i="81"/>
  <c r="J24" i="81"/>
  <c r="D24" i="81"/>
  <c r="Q24" i="81" s="1"/>
  <c r="M23" i="81"/>
  <c r="J23" i="81"/>
  <c r="D23" i="81"/>
  <c r="M22" i="81"/>
  <c r="J22" i="81"/>
  <c r="D22" i="81"/>
  <c r="Q22" i="81" s="1"/>
  <c r="M21" i="81"/>
  <c r="J21" i="81"/>
  <c r="D21" i="81"/>
  <c r="M20" i="81"/>
  <c r="J20" i="81"/>
  <c r="F20" i="81"/>
  <c r="F19" i="83" s="1"/>
  <c r="E20" i="81"/>
  <c r="E16" i="81" s="1"/>
  <c r="E14" i="81" s="1"/>
  <c r="M19" i="81"/>
  <c r="L19" i="81"/>
  <c r="F19" i="81"/>
  <c r="F18" i="83"/>
  <c r="E19" i="81"/>
  <c r="E18" i="83"/>
  <c r="D19" i="81"/>
  <c r="J18" i="81"/>
  <c r="D18" i="81"/>
  <c r="M17" i="81"/>
  <c r="J17" i="81"/>
  <c r="I17" i="81"/>
  <c r="I16" i="83" s="1"/>
  <c r="E17" i="81"/>
  <c r="G17" i="81" s="1"/>
  <c r="D17" i="81" s="1"/>
  <c r="D15" i="81" s="1"/>
  <c r="O16" i="81"/>
  <c r="O14" i="81" s="1"/>
  <c r="L16" i="81"/>
  <c r="K16" i="81"/>
  <c r="K14" i="81" s="1"/>
  <c r="I16" i="81"/>
  <c r="I14" i="81" s="1"/>
  <c r="H16" i="81"/>
  <c r="H14" i="81" s="1"/>
  <c r="G16" i="81"/>
  <c r="C16" i="81"/>
  <c r="C14" i="81" s="1"/>
  <c r="O15" i="81"/>
  <c r="O13" i="81" s="1"/>
  <c r="N15" i="81"/>
  <c r="N13" i="81" s="1"/>
  <c r="K15" i="81"/>
  <c r="K13" i="81" s="1"/>
  <c r="K33" i="81" s="1"/>
  <c r="I15" i="81"/>
  <c r="I13" i="81" s="1"/>
  <c r="H15" i="81"/>
  <c r="H13" i="81"/>
  <c r="F15" i="81"/>
  <c r="F13" i="81"/>
  <c r="C15" i="81"/>
  <c r="C13" i="81" s="1"/>
  <c r="L14" i="81"/>
  <c r="G14" i="81"/>
  <c r="C15" i="80"/>
  <c r="C13" i="80" s="1"/>
  <c r="E15" i="80"/>
  <c r="E13" i="80"/>
  <c r="F15" i="80"/>
  <c r="F13" i="80" s="1"/>
  <c r="G15" i="80"/>
  <c r="G13" i="80"/>
  <c r="H15" i="80"/>
  <c r="H13" i="80"/>
  <c r="I15" i="80"/>
  <c r="I13" i="80" s="1"/>
  <c r="K15" i="80"/>
  <c r="K13" i="80" s="1"/>
  <c r="L15" i="80"/>
  <c r="L13" i="80" s="1"/>
  <c r="O15" i="80"/>
  <c r="O13" i="80" s="1"/>
  <c r="C16" i="80"/>
  <c r="C14" i="80" s="1"/>
  <c r="C33" i="80" s="1"/>
  <c r="E16" i="80"/>
  <c r="E14" i="80" s="1"/>
  <c r="F16" i="80"/>
  <c r="F14" i="80" s="1"/>
  <c r="F33" i="80" s="1"/>
  <c r="G16" i="80"/>
  <c r="G14" i="80" s="1"/>
  <c r="H16" i="80"/>
  <c r="H14" i="80" s="1"/>
  <c r="I16" i="80"/>
  <c r="I14" i="80" s="1"/>
  <c r="I33" i="80" s="1"/>
  <c r="K16" i="80"/>
  <c r="K14" i="80" s="1"/>
  <c r="L16" i="80"/>
  <c r="L14" i="80" s="1"/>
  <c r="N16" i="80"/>
  <c r="N14" i="80" s="1"/>
  <c r="O16" i="80"/>
  <c r="O14" i="80" s="1"/>
  <c r="D17" i="80"/>
  <c r="J17" i="80"/>
  <c r="N17" i="80"/>
  <c r="M17" i="80" s="1"/>
  <c r="D18" i="80"/>
  <c r="J18" i="80"/>
  <c r="M18" i="80"/>
  <c r="D19" i="80"/>
  <c r="J19" i="80"/>
  <c r="N19" i="80"/>
  <c r="D20" i="80"/>
  <c r="J20" i="80"/>
  <c r="M20" i="80"/>
  <c r="D21" i="80"/>
  <c r="J21" i="80"/>
  <c r="M21" i="80"/>
  <c r="D22" i="80"/>
  <c r="J22" i="80"/>
  <c r="M22" i="80"/>
  <c r="D23" i="80"/>
  <c r="J23" i="80"/>
  <c r="M23" i="80"/>
  <c r="D24" i="80"/>
  <c r="J24" i="80"/>
  <c r="M24" i="80"/>
  <c r="D25" i="80"/>
  <c r="J25" i="80"/>
  <c r="M25" i="80"/>
  <c r="D26" i="80"/>
  <c r="J26" i="80"/>
  <c r="M26" i="80"/>
  <c r="D27" i="80"/>
  <c r="J27" i="80"/>
  <c r="M27" i="80"/>
  <c r="D28" i="80"/>
  <c r="J28" i="80"/>
  <c r="M28" i="80"/>
  <c r="D29" i="80"/>
  <c r="J29" i="80"/>
  <c r="M29" i="80"/>
  <c r="D30" i="80"/>
  <c r="J30" i="80"/>
  <c r="M30" i="80"/>
  <c r="D31" i="80"/>
  <c r="J31" i="80"/>
  <c r="M31" i="80"/>
  <c r="D32" i="80"/>
  <c r="J32" i="80"/>
  <c r="M32" i="80"/>
  <c r="M32" i="79"/>
  <c r="J32" i="79"/>
  <c r="J31" i="83" s="1"/>
  <c r="D32" i="79"/>
  <c r="Q32" i="79" s="1"/>
  <c r="N31" i="79"/>
  <c r="N30" i="83" s="1"/>
  <c r="M31" i="79"/>
  <c r="M30" i="83" s="1"/>
  <c r="J31" i="79"/>
  <c r="D31" i="79"/>
  <c r="M30" i="79"/>
  <c r="M29" i="83" s="1"/>
  <c r="J30" i="79"/>
  <c r="J29" i="83" s="1"/>
  <c r="Q30" i="79"/>
  <c r="D30" i="79"/>
  <c r="M29" i="79"/>
  <c r="M28" i="83" s="1"/>
  <c r="J29" i="79"/>
  <c r="D29" i="79"/>
  <c r="D28" i="83" s="1"/>
  <c r="M28" i="79"/>
  <c r="J28" i="79"/>
  <c r="J27" i="83" s="1"/>
  <c r="D28" i="79"/>
  <c r="Q28" i="79" s="1"/>
  <c r="M27" i="79"/>
  <c r="M26" i="83" s="1"/>
  <c r="J27" i="79"/>
  <c r="J26" i="83" s="1"/>
  <c r="D27" i="79"/>
  <c r="D26" i="83" s="1"/>
  <c r="Q27" i="79"/>
  <c r="M26" i="79"/>
  <c r="J26" i="79"/>
  <c r="J25" i="83" s="1"/>
  <c r="D26" i="79"/>
  <c r="M25" i="79"/>
  <c r="M24" i="83" s="1"/>
  <c r="J25" i="79"/>
  <c r="D25" i="79"/>
  <c r="D24" i="83" s="1"/>
  <c r="M24" i="79"/>
  <c r="J24" i="79"/>
  <c r="J23" i="83"/>
  <c r="D24" i="79"/>
  <c r="M23" i="79"/>
  <c r="M22" i="83" s="1"/>
  <c r="J23" i="79"/>
  <c r="D23" i="79"/>
  <c r="D22" i="83" s="1"/>
  <c r="M22" i="79"/>
  <c r="J22" i="79"/>
  <c r="D22" i="79"/>
  <c r="M21" i="79"/>
  <c r="M20" i="83"/>
  <c r="J21" i="79"/>
  <c r="D21" i="79"/>
  <c r="D20" i="83" s="1"/>
  <c r="M20" i="79"/>
  <c r="J20" i="79"/>
  <c r="J19" i="83" s="1"/>
  <c r="D20" i="79"/>
  <c r="Q20" i="79" s="1"/>
  <c r="N19" i="79"/>
  <c r="M19" i="79" s="1"/>
  <c r="M15" i="79" s="1"/>
  <c r="M13" i="79" s="1"/>
  <c r="J19" i="79"/>
  <c r="D19" i="79"/>
  <c r="M18" i="79"/>
  <c r="J18" i="79"/>
  <c r="J17" i="83" s="1"/>
  <c r="D18" i="79"/>
  <c r="D17" i="83" s="1"/>
  <c r="N17" i="79"/>
  <c r="N16" i="83" s="1"/>
  <c r="M17" i="79"/>
  <c r="M16" i="83" s="1"/>
  <c r="J17" i="79"/>
  <c r="J15" i="79" s="1"/>
  <c r="J13" i="79" s="1"/>
  <c r="D17" i="79"/>
  <c r="O16" i="79"/>
  <c r="N16" i="79"/>
  <c r="N14" i="79" s="1"/>
  <c r="L16" i="79"/>
  <c r="L15" i="83" s="1"/>
  <c r="K16" i="79"/>
  <c r="K15" i="83" s="1"/>
  <c r="I16" i="79"/>
  <c r="H16" i="79"/>
  <c r="H15" i="83"/>
  <c r="G16" i="79"/>
  <c r="G15" i="83"/>
  <c r="F16" i="79"/>
  <c r="E16" i="79"/>
  <c r="E15" i="83"/>
  <c r="C16" i="79"/>
  <c r="C15" i="83" s="1"/>
  <c r="O15" i="79"/>
  <c r="L15" i="79"/>
  <c r="K15" i="79"/>
  <c r="K14" i="83" s="1"/>
  <c r="I15" i="79"/>
  <c r="H15" i="79"/>
  <c r="H14" i="83" s="1"/>
  <c r="G15" i="79"/>
  <c r="G13" i="79" s="1"/>
  <c r="F15" i="79"/>
  <c r="F14" i="83" s="1"/>
  <c r="E15" i="79"/>
  <c r="E13" i="79" s="1"/>
  <c r="E33" i="79" s="1"/>
  <c r="C15" i="79"/>
  <c r="C14" i="83"/>
  <c r="I14" i="79"/>
  <c r="G14" i="79"/>
  <c r="G13" i="83" s="1"/>
  <c r="E14" i="79"/>
  <c r="L13" i="79"/>
  <c r="N16" i="81"/>
  <c r="N14" i="81" s="1"/>
  <c r="G33" i="80"/>
  <c r="Q20" i="80"/>
  <c r="N15" i="79"/>
  <c r="N13" i="79" s="1"/>
  <c r="N33" i="79" s="1"/>
  <c r="P92" i="75"/>
  <c r="P93" i="75"/>
  <c r="O93" i="75"/>
  <c r="I93" i="75" s="1"/>
  <c r="H84" i="88" s="1"/>
  <c r="U85" i="75"/>
  <c r="U88" i="75"/>
  <c r="S85" i="75"/>
  <c r="S81" i="75" s="1"/>
  <c r="R85" i="75"/>
  <c r="R81" i="75" s="1"/>
  <c r="R77" i="75" s="1"/>
  <c r="M85" i="75"/>
  <c r="M92" i="75"/>
  <c r="J92" i="75" s="1"/>
  <c r="M88" i="75"/>
  <c r="J88" i="75" s="1"/>
  <c r="I79" i="88" s="1"/>
  <c r="L88" i="75"/>
  <c r="L81" i="75" s="1"/>
  <c r="L92" i="75"/>
  <c r="M45" i="75"/>
  <c r="M44" i="75" s="1"/>
  <c r="L45" i="75"/>
  <c r="L44" i="75" s="1"/>
  <c r="P45" i="75"/>
  <c r="P44" i="75" s="1"/>
  <c r="O52" i="75"/>
  <c r="V53" i="75"/>
  <c r="U53" i="75"/>
  <c r="S53" i="75"/>
  <c r="R53" i="75"/>
  <c r="P53" i="75"/>
  <c r="O53" i="75"/>
  <c r="M53" i="75"/>
  <c r="L53" i="75"/>
  <c r="O45" i="75"/>
  <c r="V44" i="75"/>
  <c r="U44" i="75"/>
  <c r="S44" i="75"/>
  <c r="R44" i="75"/>
  <c r="R43" i="75" s="1"/>
  <c r="R130" i="75" s="1"/>
  <c r="Q77" i="75"/>
  <c r="N93" i="75"/>
  <c r="N81" i="75" s="1"/>
  <c r="H81" i="75" s="1"/>
  <c r="H89" i="75"/>
  <c r="J96" i="75"/>
  <c r="I86" i="88" s="1"/>
  <c r="I96" i="75"/>
  <c r="H86" i="88" s="1"/>
  <c r="H96" i="75"/>
  <c r="G86" i="88" s="1"/>
  <c r="J95" i="75"/>
  <c r="I85" i="88" s="1"/>
  <c r="I95" i="75"/>
  <c r="H85" i="88" s="1"/>
  <c r="H95" i="75"/>
  <c r="G85" i="88" s="1"/>
  <c r="J91" i="75"/>
  <c r="I82" i="88" s="1"/>
  <c r="I91" i="75"/>
  <c r="H82" i="88" s="1"/>
  <c r="H91" i="75"/>
  <c r="G82" i="88" s="1"/>
  <c r="J90" i="75"/>
  <c r="I81" i="88" s="1"/>
  <c r="I90" i="75"/>
  <c r="H81" i="88" s="1"/>
  <c r="H90" i="75"/>
  <c r="G81" i="88" s="1"/>
  <c r="J89" i="75"/>
  <c r="I80" i="88" s="1"/>
  <c r="I89" i="75"/>
  <c r="H80" i="88" s="1"/>
  <c r="J87" i="75"/>
  <c r="I78" i="88" s="1"/>
  <c r="I87" i="75"/>
  <c r="H78" i="88" s="1"/>
  <c r="H87" i="75"/>
  <c r="G78" i="88" s="1"/>
  <c r="J86" i="75"/>
  <c r="I77" i="88" s="1"/>
  <c r="I86" i="75"/>
  <c r="H77" i="88" s="1"/>
  <c r="H86" i="75"/>
  <c r="G77" i="88" s="1"/>
  <c r="H85" i="75"/>
  <c r="G76" i="88" s="1"/>
  <c r="J84" i="75"/>
  <c r="I75" i="88" s="1"/>
  <c r="I84" i="75"/>
  <c r="H75" i="88" s="1"/>
  <c r="H84" i="75"/>
  <c r="G75" i="88" s="1"/>
  <c r="J83" i="75"/>
  <c r="I74" i="88" s="1"/>
  <c r="I83" i="75"/>
  <c r="H74" i="88" s="1"/>
  <c r="H83" i="75"/>
  <c r="G74" i="88" s="1"/>
  <c r="N62" i="75"/>
  <c r="Q63" i="75"/>
  <c r="Q62" i="75" s="1"/>
  <c r="T62" i="75"/>
  <c r="K63" i="75"/>
  <c r="K62" i="75" s="1"/>
  <c r="Q44" i="75"/>
  <c r="N44" i="75"/>
  <c r="K44" i="75"/>
  <c r="G40" i="88"/>
  <c r="J47" i="75"/>
  <c r="I41" i="88" s="1"/>
  <c r="J48" i="75"/>
  <c r="I42" i="88" s="1"/>
  <c r="I47" i="75"/>
  <c r="H41" i="88" s="1"/>
  <c r="I48" i="75"/>
  <c r="H42" i="88" s="1"/>
  <c r="G42" i="88"/>
  <c r="J50" i="75"/>
  <c r="I44" i="88" s="1"/>
  <c r="I50" i="75"/>
  <c r="H44" i="88" s="1"/>
  <c r="G44" i="88"/>
  <c r="G41" i="88"/>
  <c r="Q53" i="75"/>
  <c r="N53" i="75"/>
  <c r="K53" i="75"/>
  <c r="H53" i="75" s="1"/>
  <c r="P58" i="68"/>
  <c r="P56" i="68" s="1"/>
  <c r="P55" i="68" s="1"/>
  <c r="O58" i="68"/>
  <c r="N56" i="68"/>
  <c r="H56" i="68" s="1"/>
  <c r="H56" i="78" s="1"/>
  <c r="M95" i="68"/>
  <c r="M94" i="78" s="1"/>
  <c r="L95" i="68"/>
  <c r="L94" i="78" s="1"/>
  <c r="O94" i="68"/>
  <c r="O93" i="78" s="1"/>
  <c r="M94" i="68"/>
  <c r="M93" i="78"/>
  <c r="L94" i="68"/>
  <c r="K94" i="68"/>
  <c r="N94" i="68"/>
  <c r="P94" i="68"/>
  <c r="P93" i="78" s="1"/>
  <c r="V108" i="78"/>
  <c r="U108" i="78"/>
  <c r="T108" i="78"/>
  <c r="S108" i="78"/>
  <c r="R108" i="78"/>
  <c r="Q108" i="78"/>
  <c r="P108" i="78"/>
  <c r="O108" i="78"/>
  <c r="N108" i="78"/>
  <c r="M108" i="78"/>
  <c r="L108" i="78"/>
  <c r="K108" i="78"/>
  <c r="V107" i="78"/>
  <c r="U107" i="78"/>
  <c r="T107" i="78"/>
  <c r="S107" i="78"/>
  <c r="R107" i="78"/>
  <c r="Q107" i="78"/>
  <c r="P107" i="78"/>
  <c r="O107" i="78"/>
  <c r="N107" i="78"/>
  <c r="M107" i="78"/>
  <c r="L107" i="78"/>
  <c r="K107" i="78"/>
  <c r="V106" i="78"/>
  <c r="U106" i="78"/>
  <c r="T106" i="78"/>
  <c r="S106" i="78"/>
  <c r="R106" i="78"/>
  <c r="Q106" i="78"/>
  <c r="P106" i="78"/>
  <c r="O106" i="78"/>
  <c r="N106" i="78"/>
  <c r="M106" i="78"/>
  <c r="L106" i="78"/>
  <c r="K106" i="78"/>
  <c r="V105" i="78"/>
  <c r="U105" i="78"/>
  <c r="T105" i="78"/>
  <c r="S105" i="78"/>
  <c r="R105" i="78"/>
  <c r="Q105" i="78"/>
  <c r="P105" i="78"/>
  <c r="O105" i="78"/>
  <c r="N105" i="78"/>
  <c r="M105" i="78"/>
  <c r="L105" i="78"/>
  <c r="K105" i="78"/>
  <c r="V104" i="78"/>
  <c r="U104" i="78"/>
  <c r="T104" i="78"/>
  <c r="S104" i="78"/>
  <c r="R104" i="78"/>
  <c r="Q104" i="78"/>
  <c r="P104" i="78"/>
  <c r="O104" i="78"/>
  <c r="N104" i="78"/>
  <c r="M104" i="78"/>
  <c r="L104" i="78"/>
  <c r="K104" i="78"/>
  <c r="V103" i="78"/>
  <c r="U103" i="78"/>
  <c r="T103" i="78"/>
  <c r="S103" i="78"/>
  <c r="R103" i="78"/>
  <c r="Q103" i="78"/>
  <c r="P103" i="78"/>
  <c r="O103" i="78"/>
  <c r="N103" i="78"/>
  <c r="M103" i="78"/>
  <c r="L103" i="78"/>
  <c r="K103" i="78"/>
  <c r="V102" i="78"/>
  <c r="U102" i="78"/>
  <c r="T102" i="78"/>
  <c r="S102" i="78"/>
  <c r="R102" i="78"/>
  <c r="Q102" i="78"/>
  <c r="P102" i="78"/>
  <c r="O102" i="78"/>
  <c r="N102" i="78"/>
  <c r="M102" i="78"/>
  <c r="L102" i="78"/>
  <c r="K102" i="78"/>
  <c r="V101" i="78"/>
  <c r="U101" i="78"/>
  <c r="T101" i="78"/>
  <c r="S101" i="78"/>
  <c r="R101" i="78"/>
  <c r="Q101" i="78"/>
  <c r="P101" i="78"/>
  <c r="O101" i="78"/>
  <c r="N101" i="78"/>
  <c r="M101" i="78"/>
  <c r="L101" i="78"/>
  <c r="K101" i="78"/>
  <c r="V100" i="78"/>
  <c r="U100" i="78"/>
  <c r="T100" i="78"/>
  <c r="S100" i="78"/>
  <c r="R100" i="78"/>
  <c r="Q100" i="78"/>
  <c r="P100" i="78"/>
  <c r="O100" i="78"/>
  <c r="N100" i="78"/>
  <c r="M100" i="78"/>
  <c r="L100" i="78"/>
  <c r="K100" i="78"/>
  <c r="V99" i="78"/>
  <c r="U99" i="78"/>
  <c r="T99" i="78"/>
  <c r="S99" i="78"/>
  <c r="R99" i="78"/>
  <c r="Q99" i="78"/>
  <c r="P99" i="78"/>
  <c r="O99" i="78"/>
  <c r="N99" i="78"/>
  <c r="M99" i="78"/>
  <c r="L99" i="78"/>
  <c r="K99" i="78"/>
  <c r="V98" i="78"/>
  <c r="U98" i="78"/>
  <c r="T98" i="78"/>
  <c r="S98" i="78"/>
  <c r="R98" i="78"/>
  <c r="Q98" i="78"/>
  <c r="P98" i="78"/>
  <c r="O98" i="78"/>
  <c r="N98" i="78"/>
  <c r="M98" i="78"/>
  <c r="L98" i="78"/>
  <c r="K98" i="78"/>
  <c r="V97" i="78"/>
  <c r="U97" i="78"/>
  <c r="T97" i="78"/>
  <c r="S97" i="78"/>
  <c r="R97" i="78"/>
  <c r="Q97" i="78"/>
  <c r="P97" i="78"/>
  <c r="O97" i="78"/>
  <c r="N97" i="78"/>
  <c r="M97" i="78"/>
  <c r="L97" i="78"/>
  <c r="K97" i="78"/>
  <c r="V95" i="78"/>
  <c r="U95" i="78"/>
  <c r="T95" i="78"/>
  <c r="S95" i="78"/>
  <c r="R95" i="78"/>
  <c r="Q95" i="78"/>
  <c r="P95" i="78"/>
  <c r="O95" i="78"/>
  <c r="N95" i="78"/>
  <c r="M95" i="78"/>
  <c r="L95" i="78"/>
  <c r="K95" i="78"/>
  <c r="V94" i="78"/>
  <c r="U94" i="78"/>
  <c r="T94" i="78"/>
  <c r="S94" i="78"/>
  <c r="R94" i="78"/>
  <c r="Q94" i="78"/>
  <c r="P94" i="78"/>
  <c r="O94" i="78"/>
  <c r="N94" i="78"/>
  <c r="V93" i="78"/>
  <c r="U93" i="78"/>
  <c r="T93" i="78"/>
  <c r="S93" i="78"/>
  <c r="R93" i="78"/>
  <c r="Q93" i="78"/>
  <c r="N93" i="78"/>
  <c r="L93" i="78"/>
  <c r="V91" i="78"/>
  <c r="U91" i="78"/>
  <c r="T91" i="78"/>
  <c r="S91" i="78"/>
  <c r="R91" i="78"/>
  <c r="Q91" i="78"/>
  <c r="P91" i="78"/>
  <c r="N91" i="78"/>
  <c r="M91" i="78"/>
  <c r="L91" i="78"/>
  <c r="V90" i="78"/>
  <c r="U90" i="78"/>
  <c r="T90" i="78"/>
  <c r="S90" i="78"/>
  <c r="R90" i="78"/>
  <c r="Q90" i="78"/>
  <c r="P90" i="78"/>
  <c r="O90" i="78"/>
  <c r="N90" i="78"/>
  <c r="M90" i="78"/>
  <c r="V89" i="78"/>
  <c r="U89" i="78"/>
  <c r="T89" i="78"/>
  <c r="S89" i="78"/>
  <c r="R89" i="78"/>
  <c r="Q89" i="78"/>
  <c r="P89" i="78"/>
  <c r="O89" i="78"/>
  <c r="N89" i="78"/>
  <c r="M89" i="78"/>
  <c r="L89" i="78"/>
  <c r="V88" i="78"/>
  <c r="U88" i="78"/>
  <c r="T88" i="78"/>
  <c r="S88" i="78"/>
  <c r="R88" i="78"/>
  <c r="Q88" i="78"/>
  <c r="P88" i="78"/>
  <c r="O88" i="78"/>
  <c r="N88" i="78"/>
  <c r="M88" i="78"/>
  <c r="L88" i="78"/>
  <c r="V87" i="78"/>
  <c r="U87" i="78"/>
  <c r="T87" i="78"/>
  <c r="S87" i="78"/>
  <c r="R87" i="78"/>
  <c r="Q87" i="78"/>
  <c r="P87" i="78"/>
  <c r="O87" i="78"/>
  <c r="N87" i="78"/>
  <c r="M87" i="78"/>
  <c r="L87" i="78"/>
  <c r="V86" i="78"/>
  <c r="U86" i="78"/>
  <c r="T86" i="78"/>
  <c r="S86" i="78"/>
  <c r="R86" i="78"/>
  <c r="Q86" i="78"/>
  <c r="P86" i="78"/>
  <c r="O86" i="78"/>
  <c r="N86" i="78"/>
  <c r="M86" i="78"/>
  <c r="L86" i="78"/>
  <c r="K86" i="78"/>
  <c r="V85" i="78"/>
  <c r="U85" i="78"/>
  <c r="T85" i="78"/>
  <c r="S85" i="78"/>
  <c r="R85" i="78"/>
  <c r="Q85" i="78"/>
  <c r="P85" i="78"/>
  <c r="O85" i="78"/>
  <c r="N85" i="78"/>
  <c r="M85" i="78"/>
  <c r="L85" i="78"/>
  <c r="K85" i="78"/>
  <c r="V84" i="78"/>
  <c r="U84" i="78"/>
  <c r="T84" i="78"/>
  <c r="S84" i="78"/>
  <c r="R84" i="78"/>
  <c r="Q84" i="78"/>
  <c r="P84" i="78"/>
  <c r="O84" i="78"/>
  <c r="N84" i="78"/>
  <c r="M84" i="78"/>
  <c r="L84" i="78"/>
  <c r="K84" i="78"/>
  <c r="V82" i="78"/>
  <c r="U82" i="78"/>
  <c r="T82" i="78"/>
  <c r="S82" i="78"/>
  <c r="R82" i="78"/>
  <c r="Q82" i="78"/>
  <c r="P82" i="78"/>
  <c r="O82" i="78"/>
  <c r="N82" i="78"/>
  <c r="M82" i="78"/>
  <c r="L82" i="78"/>
  <c r="K82" i="78"/>
  <c r="V79" i="78"/>
  <c r="U79" i="78"/>
  <c r="T79" i="78"/>
  <c r="S79" i="78"/>
  <c r="R79" i="78"/>
  <c r="Q79" i="78"/>
  <c r="P79" i="78"/>
  <c r="O79" i="78"/>
  <c r="N79" i="78"/>
  <c r="M79" i="78"/>
  <c r="L79" i="78"/>
  <c r="K79" i="78"/>
  <c r="V78" i="78"/>
  <c r="U78" i="78"/>
  <c r="T78" i="78"/>
  <c r="S78" i="78"/>
  <c r="R78" i="78"/>
  <c r="Q78" i="78"/>
  <c r="V76" i="78"/>
  <c r="U76" i="78"/>
  <c r="T76" i="78"/>
  <c r="S76" i="78"/>
  <c r="R76" i="78"/>
  <c r="Q76" i="78"/>
  <c r="P76" i="78"/>
  <c r="O76" i="78"/>
  <c r="N76" i="78"/>
  <c r="M76" i="78"/>
  <c r="L76" i="78"/>
  <c r="K76" i="78"/>
  <c r="V75" i="78"/>
  <c r="U75" i="78"/>
  <c r="T75" i="78"/>
  <c r="S75" i="78"/>
  <c r="R75" i="78"/>
  <c r="Q75" i="78"/>
  <c r="P75" i="78"/>
  <c r="O75" i="78"/>
  <c r="N75" i="78"/>
  <c r="M75" i="78"/>
  <c r="L75" i="78"/>
  <c r="V71" i="78"/>
  <c r="U71" i="78"/>
  <c r="T71" i="78"/>
  <c r="S71" i="78"/>
  <c r="R71" i="78"/>
  <c r="Q71" i="78"/>
  <c r="P71" i="78"/>
  <c r="O71" i="78"/>
  <c r="N71" i="78"/>
  <c r="M71" i="78"/>
  <c r="L71" i="78"/>
  <c r="K71" i="78"/>
  <c r="V70" i="78"/>
  <c r="U70" i="78"/>
  <c r="T70" i="78"/>
  <c r="S70" i="78"/>
  <c r="R70" i="78"/>
  <c r="Q70" i="78"/>
  <c r="P70" i="78"/>
  <c r="O70" i="78"/>
  <c r="N70" i="78"/>
  <c r="M70" i="78"/>
  <c r="L70" i="78"/>
  <c r="K70" i="78"/>
  <c r="V69" i="78"/>
  <c r="U69" i="78"/>
  <c r="T69" i="78"/>
  <c r="S69" i="78"/>
  <c r="R69" i="78"/>
  <c r="Q69" i="78"/>
  <c r="P69" i="78"/>
  <c r="O69" i="78"/>
  <c r="N69" i="78"/>
  <c r="M69" i="78"/>
  <c r="L69" i="78"/>
  <c r="K69" i="78"/>
  <c r="V68" i="78"/>
  <c r="U68" i="78"/>
  <c r="T68" i="78"/>
  <c r="S68" i="78"/>
  <c r="R68" i="78"/>
  <c r="Q68" i="78"/>
  <c r="P68" i="78"/>
  <c r="O68" i="78"/>
  <c r="N68" i="78"/>
  <c r="M68" i="78"/>
  <c r="L68" i="78"/>
  <c r="K68" i="78"/>
  <c r="V67" i="78"/>
  <c r="U67" i="78"/>
  <c r="T67" i="78"/>
  <c r="S67" i="78"/>
  <c r="R67" i="78"/>
  <c r="Q67" i="78"/>
  <c r="P67" i="78"/>
  <c r="O67" i="78"/>
  <c r="N67" i="78"/>
  <c r="M67" i="78"/>
  <c r="L67" i="78"/>
  <c r="K67" i="78"/>
  <c r="V66" i="78"/>
  <c r="U66" i="78"/>
  <c r="T66" i="78"/>
  <c r="S66" i="78"/>
  <c r="R66" i="78"/>
  <c r="Q66" i="78"/>
  <c r="P66" i="78"/>
  <c r="O66" i="78"/>
  <c r="N66" i="78"/>
  <c r="M66" i="78"/>
  <c r="L66" i="78"/>
  <c r="K66" i="78"/>
  <c r="V65" i="78"/>
  <c r="U65" i="78"/>
  <c r="T65" i="78"/>
  <c r="S65" i="78"/>
  <c r="R65" i="78"/>
  <c r="Q65" i="78"/>
  <c r="P65" i="78"/>
  <c r="O65" i="78"/>
  <c r="N65" i="78"/>
  <c r="M65" i="78"/>
  <c r="L65" i="78"/>
  <c r="K65" i="78"/>
  <c r="V64" i="78"/>
  <c r="U64" i="78"/>
  <c r="T64" i="78"/>
  <c r="S64" i="78"/>
  <c r="R64" i="78"/>
  <c r="Q64" i="78"/>
  <c r="P64" i="78"/>
  <c r="O64" i="78"/>
  <c r="N64" i="78"/>
  <c r="M64" i="78"/>
  <c r="L64" i="78"/>
  <c r="V63" i="78"/>
  <c r="U63" i="78"/>
  <c r="T63" i="78"/>
  <c r="S63" i="78"/>
  <c r="R63" i="78"/>
  <c r="Q63" i="78"/>
  <c r="P63" i="78"/>
  <c r="O63" i="78"/>
  <c r="N63" i="78"/>
  <c r="M63" i="78"/>
  <c r="L63" i="78"/>
  <c r="V62" i="78"/>
  <c r="U62" i="78"/>
  <c r="T62" i="78"/>
  <c r="S62" i="78"/>
  <c r="R62" i="78"/>
  <c r="Q62" i="78"/>
  <c r="P62" i="78"/>
  <c r="O62" i="78"/>
  <c r="N62" i="78"/>
  <c r="V61" i="78"/>
  <c r="U61" i="78"/>
  <c r="T61" i="78"/>
  <c r="S61" i="78"/>
  <c r="R61" i="78"/>
  <c r="Q61" i="78"/>
  <c r="P61" i="78"/>
  <c r="O61" i="78"/>
  <c r="N61" i="78"/>
  <c r="M61" i="78"/>
  <c r="L61" i="78"/>
  <c r="K61" i="78"/>
  <c r="V60" i="78"/>
  <c r="U60" i="78"/>
  <c r="T60" i="78"/>
  <c r="S60" i="78"/>
  <c r="R60" i="78"/>
  <c r="Q60" i="78"/>
  <c r="P60" i="78"/>
  <c r="O60" i="78"/>
  <c r="N60" i="78"/>
  <c r="M60" i="78"/>
  <c r="L60" i="78"/>
  <c r="K60" i="78"/>
  <c r="V59" i="78"/>
  <c r="U59" i="78"/>
  <c r="T59" i="78"/>
  <c r="S59" i="78"/>
  <c r="R59" i="78"/>
  <c r="Q59" i="78"/>
  <c r="P59" i="78"/>
  <c r="O59" i="78"/>
  <c r="N59" i="78"/>
  <c r="M59" i="78"/>
  <c r="L59" i="78"/>
  <c r="K59" i="78"/>
  <c r="V58" i="78"/>
  <c r="U58" i="78"/>
  <c r="T58" i="78"/>
  <c r="S58" i="78"/>
  <c r="R58" i="78"/>
  <c r="Q58" i="78"/>
  <c r="P58" i="78"/>
  <c r="N58" i="78"/>
  <c r="M58" i="78"/>
  <c r="L58" i="78"/>
  <c r="K58" i="78"/>
  <c r="V57" i="78"/>
  <c r="U57" i="78"/>
  <c r="T57" i="78"/>
  <c r="S57" i="78"/>
  <c r="R57" i="78"/>
  <c r="Q57" i="78"/>
  <c r="P57" i="78"/>
  <c r="O57" i="78"/>
  <c r="N57" i="78"/>
  <c r="M57" i="78"/>
  <c r="L57" i="78"/>
  <c r="K57" i="78"/>
  <c r="V56" i="78"/>
  <c r="U56" i="78"/>
  <c r="T56" i="78"/>
  <c r="S56" i="78"/>
  <c r="R56" i="78"/>
  <c r="Q56" i="78"/>
  <c r="M56" i="78"/>
  <c r="L56" i="78"/>
  <c r="K56" i="78"/>
  <c r="V55" i="78"/>
  <c r="U55" i="78"/>
  <c r="T55" i="78"/>
  <c r="S55" i="78"/>
  <c r="R55" i="78"/>
  <c r="Q55" i="78"/>
  <c r="M55" i="78"/>
  <c r="L55" i="78"/>
  <c r="K55" i="78"/>
  <c r="V54" i="78"/>
  <c r="U54" i="78"/>
  <c r="T54" i="78"/>
  <c r="S54" i="78"/>
  <c r="R54" i="78"/>
  <c r="Q54" i="78"/>
  <c r="P54" i="78"/>
  <c r="O54" i="78"/>
  <c r="N54" i="78"/>
  <c r="M54" i="78"/>
  <c r="L54" i="78"/>
  <c r="K54" i="78"/>
  <c r="V53" i="78"/>
  <c r="U53" i="78"/>
  <c r="T53" i="78"/>
  <c r="S53" i="78"/>
  <c r="R53" i="78"/>
  <c r="Q53" i="78"/>
  <c r="V52" i="78"/>
  <c r="U52" i="78"/>
  <c r="T52" i="78"/>
  <c r="S52" i="78"/>
  <c r="R52" i="78"/>
  <c r="Q52" i="78"/>
  <c r="P52" i="78"/>
  <c r="O52" i="78"/>
  <c r="N52" i="78"/>
  <c r="M52" i="78"/>
  <c r="L52" i="78"/>
  <c r="K52" i="78"/>
  <c r="V51" i="78"/>
  <c r="U51" i="78"/>
  <c r="T51" i="78"/>
  <c r="S51" i="78"/>
  <c r="R51" i="78"/>
  <c r="Q51" i="78"/>
  <c r="P51" i="78"/>
  <c r="O51" i="78"/>
  <c r="N51" i="78"/>
  <c r="M51" i="78"/>
  <c r="L51" i="78"/>
  <c r="K51" i="78"/>
  <c r="V50" i="78"/>
  <c r="U50" i="78"/>
  <c r="T50" i="78"/>
  <c r="S50" i="78"/>
  <c r="R50" i="78"/>
  <c r="Q50" i="78"/>
  <c r="P50" i="78"/>
  <c r="O50" i="78"/>
  <c r="N50" i="78"/>
  <c r="M50" i="78"/>
  <c r="L50" i="78"/>
  <c r="K50" i="78"/>
  <c r="V49" i="78"/>
  <c r="U49" i="78"/>
  <c r="T49" i="78"/>
  <c r="S49" i="78"/>
  <c r="R49" i="78"/>
  <c r="Q49" i="78"/>
  <c r="P49" i="78"/>
  <c r="O49" i="78"/>
  <c r="N49" i="78"/>
  <c r="M49" i="78"/>
  <c r="L49" i="78"/>
  <c r="K49" i="78"/>
  <c r="V46" i="78"/>
  <c r="U46" i="78"/>
  <c r="T46" i="78"/>
  <c r="S46" i="78"/>
  <c r="R46" i="78"/>
  <c r="Q46" i="78"/>
  <c r="P46" i="78"/>
  <c r="O46" i="78"/>
  <c r="N46" i="78"/>
  <c r="M46" i="78"/>
  <c r="L46" i="78"/>
  <c r="K46" i="78"/>
  <c r="V45" i="78"/>
  <c r="U45" i="78"/>
  <c r="T45" i="78"/>
  <c r="S45" i="78"/>
  <c r="R45" i="78"/>
  <c r="Q45" i="78"/>
  <c r="P45" i="78"/>
  <c r="O45" i="78"/>
  <c r="N45" i="78"/>
  <c r="M45" i="78"/>
  <c r="L45" i="78"/>
  <c r="K45" i="78"/>
  <c r="V44" i="78"/>
  <c r="U44" i="78"/>
  <c r="T44" i="78"/>
  <c r="S44" i="78"/>
  <c r="R44" i="78"/>
  <c r="Q44" i="78"/>
  <c r="P44" i="78"/>
  <c r="O44" i="78"/>
  <c r="N44" i="78"/>
  <c r="M44" i="78"/>
  <c r="L44" i="78"/>
  <c r="V43" i="78"/>
  <c r="U43" i="78"/>
  <c r="T43" i="78"/>
  <c r="S43" i="78"/>
  <c r="R43" i="78"/>
  <c r="Q43" i="78"/>
  <c r="V42" i="78"/>
  <c r="U42" i="78"/>
  <c r="T42" i="78"/>
  <c r="S42" i="78"/>
  <c r="R42" i="78"/>
  <c r="Q42" i="78"/>
  <c r="P42" i="78"/>
  <c r="O42" i="78"/>
  <c r="N42" i="78"/>
  <c r="M42" i="78"/>
  <c r="L42" i="78"/>
  <c r="K42" i="78"/>
  <c r="V41" i="78"/>
  <c r="U41" i="78"/>
  <c r="T41" i="78"/>
  <c r="S41" i="78"/>
  <c r="R41" i="78"/>
  <c r="Q41" i="78"/>
  <c r="P41" i="78"/>
  <c r="O41" i="78"/>
  <c r="N41" i="78"/>
  <c r="M41" i="78"/>
  <c r="L41" i="78"/>
  <c r="K41" i="78"/>
  <c r="V40" i="78"/>
  <c r="U40" i="78"/>
  <c r="T40" i="78"/>
  <c r="S40" i="78"/>
  <c r="R40" i="78"/>
  <c r="Q40" i="78"/>
  <c r="P40" i="78"/>
  <c r="O40" i="78"/>
  <c r="N40" i="78"/>
  <c r="M40" i="78"/>
  <c r="L40" i="78"/>
  <c r="V39" i="78"/>
  <c r="U39" i="78"/>
  <c r="T39" i="78"/>
  <c r="S39" i="78"/>
  <c r="R39" i="78"/>
  <c r="Q39" i="78"/>
  <c r="P39" i="78"/>
  <c r="O39" i="78"/>
  <c r="N39" i="78"/>
  <c r="M39" i="78"/>
  <c r="L39" i="78"/>
  <c r="K39" i="78"/>
  <c r="V38" i="78"/>
  <c r="U38" i="78"/>
  <c r="T38" i="78"/>
  <c r="S38" i="78"/>
  <c r="R38" i="78"/>
  <c r="Q38" i="78"/>
  <c r="P38" i="78"/>
  <c r="O38" i="78"/>
  <c r="N38" i="78"/>
  <c r="M38" i="78"/>
  <c r="L38" i="78"/>
  <c r="K38" i="78"/>
  <c r="V37" i="78"/>
  <c r="U37" i="78"/>
  <c r="T37" i="78"/>
  <c r="S37" i="78"/>
  <c r="R37" i="78"/>
  <c r="Q37" i="78"/>
  <c r="P37" i="78"/>
  <c r="O37" i="78"/>
  <c r="N37" i="78"/>
  <c r="M37" i="78"/>
  <c r="L37" i="78"/>
  <c r="K37" i="78"/>
  <c r="V36" i="78"/>
  <c r="U36" i="78"/>
  <c r="T36" i="78"/>
  <c r="S36" i="78"/>
  <c r="R36" i="78"/>
  <c r="Q36" i="78"/>
  <c r="P36" i="78"/>
  <c r="O36" i="78"/>
  <c r="N36" i="78"/>
  <c r="M36" i="78"/>
  <c r="L36" i="78"/>
  <c r="K36" i="78"/>
  <c r="V35" i="78"/>
  <c r="U35" i="78"/>
  <c r="T35" i="78"/>
  <c r="S35" i="78"/>
  <c r="R35" i="78"/>
  <c r="Q35" i="78"/>
  <c r="P35" i="78"/>
  <c r="O35" i="78"/>
  <c r="N35" i="78"/>
  <c r="M35" i="78"/>
  <c r="L35" i="78"/>
  <c r="K35" i="78"/>
  <c r="V34" i="78"/>
  <c r="U34" i="78"/>
  <c r="T34" i="78"/>
  <c r="S34" i="78"/>
  <c r="R34" i="78"/>
  <c r="Q34" i="78"/>
  <c r="P34" i="78"/>
  <c r="O34" i="78"/>
  <c r="N34" i="78"/>
  <c r="M34" i="78"/>
  <c r="L34" i="78"/>
  <c r="K34" i="78"/>
  <c r="V33" i="78"/>
  <c r="U33" i="78"/>
  <c r="T33" i="78"/>
  <c r="S33" i="78"/>
  <c r="R33" i="78"/>
  <c r="Q33" i="78"/>
  <c r="P33" i="78"/>
  <c r="O33" i="78"/>
  <c r="N33" i="78"/>
  <c r="M33" i="78"/>
  <c r="L33" i="78"/>
  <c r="K33" i="78"/>
  <c r="V32" i="78"/>
  <c r="U32" i="78"/>
  <c r="T32" i="78"/>
  <c r="S32" i="78"/>
  <c r="R32" i="78"/>
  <c r="Q32" i="78"/>
  <c r="P32" i="78"/>
  <c r="O32" i="78"/>
  <c r="N32" i="78"/>
  <c r="M32" i="78"/>
  <c r="L32" i="78"/>
  <c r="K32" i="78"/>
  <c r="V31" i="78"/>
  <c r="U31" i="78"/>
  <c r="T31" i="78"/>
  <c r="S31" i="78"/>
  <c r="R31" i="78"/>
  <c r="Q31" i="78"/>
  <c r="P31" i="78"/>
  <c r="O31" i="78"/>
  <c r="N31" i="78"/>
  <c r="M31" i="78"/>
  <c r="L31" i="78"/>
  <c r="K31" i="78"/>
  <c r="V30" i="78"/>
  <c r="U30" i="78"/>
  <c r="T30" i="78"/>
  <c r="S30" i="78"/>
  <c r="R30" i="78"/>
  <c r="Q30" i="78"/>
  <c r="P30" i="78"/>
  <c r="O30" i="78"/>
  <c r="N30" i="78"/>
  <c r="M30" i="78"/>
  <c r="L30" i="78"/>
  <c r="K30" i="78"/>
  <c r="V27" i="78"/>
  <c r="U27" i="78"/>
  <c r="T27" i="78"/>
  <c r="S27" i="78"/>
  <c r="R27" i="78"/>
  <c r="Q27" i="78"/>
  <c r="P27" i="78"/>
  <c r="O27" i="78"/>
  <c r="N27" i="78"/>
  <c r="M27" i="78"/>
  <c r="L27" i="78"/>
  <c r="K27" i="78"/>
  <c r="V26" i="78"/>
  <c r="U26" i="78"/>
  <c r="T26" i="78"/>
  <c r="S26" i="78"/>
  <c r="R26" i="78"/>
  <c r="Q26" i="78"/>
  <c r="P26" i="78"/>
  <c r="O26" i="78"/>
  <c r="N26" i="78"/>
  <c r="M26" i="78"/>
  <c r="L26" i="78"/>
  <c r="K26" i="78"/>
  <c r="V25" i="78"/>
  <c r="U25" i="78"/>
  <c r="T25" i="78"/>
  <c r="S25" i="78"/>
  <c r="R25" i="78"/>
  <c r="Q25" i="78"/>
  <c r="P25" i="78"/>
  <c r="O25" i="78"/>
  <c r="N25" i="78"/>
  <c r="M25" i="78"/>
  <c r="L25" i="78"/>
  <c r="K25" i="78"/>
  <c r="V24" i="78"/>
  <c r="U24" i="78"/>
  <c r="T24" i="78"/>
  <c r="S24" i="78"/>
  <c r="R24" i="78"/>
  <c r="Q24" i="78"/>
  <c r="P24" i="78"/>
  <c r="O24" i="78"/>
  <c r="N24" i="78"/>
  <c r="M24" i="78"/>
  <c r="L24" i="78"/>
  <c r="K24" i="78"/>
  <c r="V23" i="78"/>
  <c r="U23" i="78"/>
  <c r="T23" i="78"/>
  <c r="S23" i="78"/>
  <c r="R23" i="78"/>
  <c r="Q23" i="78"/>
  <c r="P23" i="78"/>
  <c r="O23" i="78"/>
  <c r="N23" i="78"/>
  <c r="M23" i="78"/>
  <c r="L23" i="78"/>
  <c r="K23" i="78"/>
  <c r="V22" i="78"/>
  <c r="U22" i="78"/>
  <c r="T22" i="78"/>
  <c r="S22" i="78"/>
  <c r="R22" i="78"/>
  <c r="P22" i="78"/>
  <c r="N22" i="78"/>
  <c r="L22" i="78"/>
  <c r="V21" i="78"/>
  <c r="U21" i="78"/>
  <c r="T21" i="78"/>
  <c r="S21" i="78"/>
  <c r="R21" i="78"/>
  <c r="Q21" i="78"/>
  <c r="P21" i="78"/>
  <c r="O21" i="78"/>
  <c r="N21" i="78"/>
  <c r="M21" i="78"/>
  <c r="L21" i="78"/>
  <c r="K21" i="78"/>
  <c r="V20" i="78"/>
  <c r="U20" i="78"/>
  <c r="T20" i="78"/>
  <c r="S20" i="78"/>
  <c r="R20" i="78"/>
  <c r="Q20" i="78"/>
  <c r="P20" i="78"/>
  <c r="O20" i="78"/>
  <c r="N20" i="78"/>
  <c r="M20" i="78"/>
  <c r="L20" i="78"/>
  <c r="K20" i="78"/>
  <c r="V19" i="78"/>
  <c r="U19" i="78"/>
  <c r="T19" i="78"/>
  <c r="S19" i="78"/>
  <c r="R19" i="78"/>
  <c r="Q19" i="78"/>
  <c r="P19" i="78"/>
  <c r="O19" i="78"/>
  <c r="N19" i="78"/>
  <c r="M19" i="78"/>
  <c r="L19" i="78"/>
  <c r="K19" i="78"/>
  <c r="V18" i="78"/>
  <c r="U18" i="78"/>
  <c r="T18" i="78"/>
  <c r="S18" i="78"/>
  <c r="R18" i="78"/>
  <c r="Q18" i="78"/>
  <c r="P18" i="78"/>
  <c r="O18" i="78"/>
  <c r="N18" i="78"/>
  <c r="M18" i="78"/>
  <c r="L18" i="78"/>
  <c r="K18" i="78"/>
  <c r="V17" i="78"/>
  <c r="U17" i="78"/>
  <c r="T17" i="78"/>
  <c r="S17" i="78"/>
  <c r="R17" i="78"/>
  <c r="Q17" i="78"/>
  <c r="P17" i="78"/>
  <c r="O17" i="78"/>
  <c r="N17" i="78"/>
  <c r="M17" i="78"/>
  <c r="L17" i="78"/>
  <c r="K17" i="78"/>
  <c r="V16" i="78"/>
  <c r="U16" i="78"/>
  <c r="T16" i="78"/>
  <c r="S16" i="78"/>
  <c r="R16" i="78"/>
  <c r="Q16" i="78"/>
  <c r="P16" i="78"/>
  <c r="O16" i="78"/>
  <c r="N16" i="78"/>
  <c r="M16" i="78"/>
  <c r="L16" i="78"/>
  <c r="K16" i="78"/>
  <c r="V15" i="78"/>
  <c r="U15" i="78"/>
  <c r="T15" i="78"/>
  <c r="S15" i="78"/>
  <c r="R15" i="78"/>
  <c r="Q15" i="78"/>
  <c r="V14" i="78"/>
  <c r="U14" i="78"/>
  <c r="T14" i="78"/>
  <c r="S14" i="78"/>
  <c r="R14" i="78"/>
  <c r="Q14" i="78"/>
  <c r="P14" i="78"/>
  <c r="O14" i="78"/>
  <c r="N14" i="78"/>
  <c r="M14" i="78"/>
  <c r="L14" i="78"/>
  <c r="K14" i="78"/>
  <c r="V13" i="78"/>
  <c r="U13" i="78"/>
  <c r="T13" i="78"/>
  <c r="S13" i="78"/>
  <c r="S133" i="78" s="1"/>
  <c r="R13" i="78"/>
  <c r="R133" i="78" s="1"/>
  <c r="Q13" i="78"/>
  <c r="P13" i="78"/>
  <c r="O13" i="78"/>
  <c r="N13" i="78"/>
  <c r="M13" i="78"/>
  <c r="L13" i="78"/>
  <c r="K13" i="78"/>
  <c r="O92" i="68"/>
  <c r="O91" i="78" s="1"/>
  <c r="K91" i="78"/>
  <c r="K90" i="78"/>
  <c r="K89" i="78"/>
  <c r="K89" i="68"/>
  <c r="K88" i="78" s="1"/>
  <c r="K87" i="78"/>
  <c r="L91" i="68"/>
  <c r="L90" i="78" s="1"/>
  <c r="P15" i="68"/>
  <c r="P15" i="78" s="1"/>
  <c r="O15" i="68"/>
  <c r="O15" i="78" s="1"/>
  <c r="M15" i="68"/>
  <c r="L15" i="68"/>
  <c r="L15" i="78" s="1"/>
  <c r="K15" i="78"/>
  <c r="P83" i="68"/>
  <c r="N83" i="68"/>
  <c r="M83" i="68"/>
  <c r="M78" i="68" s="1"/>
  <c r="M62" i="68"/>
  <c r="M62" i="78" s="1"/>
  <c r="L62" i="68"/>
  <c r="L62" i="78" s="1"/>
  <c r="J98" i="68"/>
  <c r="J97" i="78" s="1"/>
  <c r="R85" i="88" s="1"/>
  <c r="J99" i="68"/>
  <c r="J98" i="78" s="1"/>
  <c r="R86" i="88" s="1"/>
  <c r="J100" i="68"/>
  <c r="J99" i="78" s="1"/>
  <c r="I98" i="68"/>
  <c r="I97" i="78" s="1"/>
  <c r="Q85" i="88" s="1"/>
  <c r="I99" i="68"/>
  <c r="I98" i="78" s="1"/>
  <c r="I100" i="68"/>
  <c r="I99" i="78" s="1"/>
  <c r="H97" i="78"/>
  <c r="P85" i="88" s="1"/>
  <c r="H99" i="68"/>
  <c r="H98" i="78" s="1"/>
  <c r="H100" i="68"/>
  <c r="H99" i="78" s="1"/>
  <c r="J94" i="68"/>
  <c r="J93" i="78" s="1"/>
  <c r="R82" i="88" s="1"/>
  <c r="J96" i="68"/>
  <c r="J95" i="78" s="1"/>
  <c r="R84" i="88" s="1"/>
  <c r="I95" i="68"/>
  <c r="I94" i="78" s="1"/>
  <c r="I96" i="68"/>
  <c r="I95" i="78" s="1"/>
  <c r="H94" i="78"/>
  <c r="P83" i="88" s="1"/>
  <c r="H96" i="68"/>
  <c r="H95" i="78" s="1"/>
  <c r="P84" i="88" s="1"/>
  <c r="J91" i="68"/>
  <c r="J90" i="78" s="1"/>
  <c r="R79" i="88" s="1"/>
  <c r="J92" i="68"/>
  <c r="J91" i="78" s="1"/>
  <c r="J86" i="68"/>
  <c r="J85" i="78" s="1"/>
  <c r="J87" i="68"/>
  <c r="J86" i="78" s="1"/>
  <c r="J88" i="68"/>
  <c r="J87" i="78" s="1"/>
  <c r="J89" i="68"/>
  <c r="J88" i="78" s="1"/>
  <c r="J90" i="68"/>
  <c r="J89" i="78" s="1"/>
  <c r="I86" i="68"/>
  <c r="I85" i="78" s="1"/>
  <c r="I87" i="68"/>
  <c r="I86" i="78" s="1"/>
  <c r="I88" i="68"/>
  <c r="I87" i="78" s="1"/>
  <c r="Q76" i="88" s="1"/>
  <c r="I89" i="68"/>
  <c r="I88" i="78" s="1"/>
  <c r="Q77" i="88" s="1"/>
  <c r="I90" i="68"/>
  <c r="I89" i="78" s="1"/>
  <c r="H86" i="68"/>
  <c r="H85" i="78" s="1"/>
  <c r="H87" i="68"/>
  <c r="H86" i="78" s="1"/>
  <c r="J67" i="68"/>
  <c r="J67" i="78" s="1"/>
  <c r="I67" i="68"/>
  <c r="I67" i="78" s="1"/>
  <c r="H67" i="68"/>
  <c r="H67" i="78" s="1"/>
  <c r="J66" i="68"/>
  <c r="J66" i="78" s="1"/>
  <c r="I66" i="68"/>
  <c r="I66" i="78" s="1"/>
  <c r="H66" i="68"/>
  <c r="H66" i="78" s="1"/>
  <c r="K63" i="68"/>
  <c r="J46" i="68"/>
  <c r="J46" i="78" s="1"/>
  <c r="I46" i="68"/>
  <c r="I46" i="78" s="1"/>
  <c r="I75" i="15" s="1"/>
  <c r="H46" i="68"/>
  <c r="H46" i="78" s="1"/>
  <c r="I50" i="78"/>
  <c r="Q44" i="88" s="1"/>
  <c r="AM44" i="88" s="1"/>
  <c r="P53" i="68"/>
  <c r="P53" i="78" s="1"/>
  <c r="O53" i="68"/>
  <c r="O53" i="78" s="1"/>
  <c r="N53" i="68"/>
  <c r="N53" i="78" s="1"/>
  <c r="M53" i="68"/>
  <c r="M53" i="78" s="1"/>
  <c r="L53" i="68"/>
  <c r="L53" i="78" s="1"/>
  <c r="K53" i="68"/>
  <c r="K53" i="78" s="1"/>
  <c r="J106" i="75"/>
  <c r="I96" i="88" s="1"/>
  <c r="I106" i="75"/>
  <c r="H96" i="88" s="1"/>
  <c r="H106" i="75"/>
  <c r="J105" i="75"/>
  <c r="I95" i="88" s="1"/>
  <c r="I105" i="75"/>
  <c r="H95" i="88" s="1"/>
  <c r="H105" i="75"/>
  <c r="G95" i="88" s="1"/>
  <c r="J104" i="75"/>
  <c r="I94" i="88" s="1"/>
  <c r="I104" i="75"/>
  <c r="H94" i="88" s="1"/>
  <c r="H104" i="75"/>
  <c r="G94" i="88" s="1"/>
  <c r="J103" i="75"/>
  <c r="I93" i="88" s="1"/>
  <c r="I103" i="75"/>
  <c r="H93" i="88" s="1"/>
  <c r="H103" i="75"/>
  <c r="G93" i="88" s="1"/>
  <c r="J102" i="75"/>
  <c r="I92" i="88" s="1"/>
  <c r="I102" i="75"/>
  <c r="H92" i="88" s="1"/>
  <c r="H102" i="75"/>
  <c r="G92" i="88" s="1"/>
  <c r="J101" i="75"/>
  <c r="I91" i="88" s="1"/>
  <c r="I101" i="75"/>
  <c r="H91" i="88" s="1"/>
  <c r="H101" i="75"/>
  <c r="G91" i="88" s="1"/>
  <c r="J100" i="75"/>
  <c r="I90" i="88" s="1"/>
  <c r="I100" i="75"/>
  <c r="H90" i="88" s="1"/>
  <c r="H100" i="75"/>
  <c r="G90" i="88" s="1"/>
  <c r="J99" i="75"/>
  <c r="I89" i="88" s="1"/>
  <c r="I99" i="75"/>
  <c r="H89" i="88" s="1"/>
  <c r="H99" i="75"/>
  <c r="G89" i="88" s="1"/>
  <c r="J98" i="75"/>
  <c r="I88" i="88" s="1"/>
  <c r="I98" i="75"/>
  <c r="H88" i="88" s="1"/>
  <c r="H98" i="75"/>
  <c r="G88" i="88" s="1"/>
  <c r="J82" i="75"/>
  <c r="I73" i="88" s="1"/>
  <c r="I82" i="75"/>
  <c r="H73" i="88" s="1"/>
  <c r="H82" i="75"/>
  <c r="G73" i="88" s="1"/>
  <c r="J80" i="75"/>
  <c r="I71" i="88" s="1"/>
  <c r="I80" i="75"/>
  <c r="H71" i="88" s="1"/>
  <c r="H80" i="75"/>
  <c r="G71" i="88" s="1"/>
  <c r="I70" i="88"/>
  <c r="H70" i="88"/>
  <c r="G70" i="88"/>
  <c r="J78" i="75"/>
  <c r="I69" i="88" s="1"/>
  <c r="I78" i="75"/>
  <c r="H69" i="88" s="1"/>
  <c r="H78" i="75"/>
  <c r="G69" i="88" s="1"/>
  <c r="J76" i="75"/>
  <c r="I67" i="88" s="1"/>
  <c r="I76" i="75"/>
  <c r="H67" i="88" s="1"/>
  <c r="H76" i="75"/>
  <c r="G67" i="88" s="1"/>
  <c r="J75" i="75"/>
  <c r="I66" i="88" s="1"/>
  <c r="I75" i="75"/>
  <c r="H66" i="88" s="1"/>
  <c r="H75" i="75"/>
  <c r="G66" i="88" s="1"/>
  <c r="J71" i="75"/>
  <c r="I65" i="88" s="1"/>
  <c r="I71" i="75"/>
  <c r="H65" i="88" s="1"/>
  <c r="H71" i="75"/>
  <c r="G65" i="88" s="1"/>
  <c r="J70" i="75"/>
  <c r="I64" i="88" s="1"/>
  <c r="I70" i="75"/>
  <c r="H64" i="88" s="1"/>
  <c r="H70" i="75"/>
  <c r="G64" i="88" s="1"/>
  <c r="J69" i="75"/>
  <c r="I63" i="88" s="1"/>
  <c r="I69" i="75"/>
  <c r="H63" i="88" s="1"/>
  <c r="H69" i="75"/>
  <c r="G63" i="88" s="1"/>
  <c r="J68" i="75"/>
  <c r="I62" i="88" s="1"/>
  <c r="I68" i="75"/>
  <c r="H62" i="88" s="1"/>
  <c r="H68" i="75"/>
  <c r="G62" i="88" s="1"/>
  <c r="J67" i="75"/>
  <c r="I61" i="88" s="1"/>
  <c r="I67" i="75"/>
  <c r="H61" i="88" s="1"/>
  <c r="H67" i="75"/>
  <c r="G61" i="88" s="1"/>
  <c r="J64" i="75"/>
  <c r="I58" i="88" s="1"/>
  <c r="I64" i="75"/>
  <c r="H58" i="88" s="1"/>
  <c r="H64" i="75"/>
  <c r="G58" i="88" s="1"/>
  <c r="J63" i="75"/>
  <c r="I57" i="88" s="1"/>
  <c r="I63" i="75"/>
  <c r="H57" i="88" s="1"/>
  <c r="H63" i="75"/>
  <c r="G57" i="88" s="1"/>
  <c r="J62" i="75"/>
  <c r="I56" i="88" s="1"/>
  <c r="J61" i="75"/>
  <c r="I55" i="88" s="1"/>
  <c r="I61" i="75"/>
  <c r="H55" i="88" s="1"/>
  <c r="H61" i="75"/>
  <c r="G55" i="88" s="1"/>
  <c r="J60" i="75"/>
  <c r="I54" i="88" s="1"/>
  <c r="I60" i="75"/>
  <c r="H54" i="88" s="1"/>
  <c r="H60" i="75"/>
  <c r="G54" i="88" s="1"/>
  <c r="J59" i="75"/>
  <c r="I53" i="88" s="1"/>
  <c r="I59" i="75"/>
  <c r="H53" i="88" s="1"/>
  <c r="H59" i="75"/>
  <c r="G53" i="88" s="1"/>
  <c r="J58" i="75"/>
  <c r="I52" i="88" s="1"/>
  <c r="I58" i="75"/>
  <c r="H52" i="88" s="1"/>
  <c r="H58" i="75"/>
  <c r="G52" i="88" s="1"/>
  <c r="J57" i="75"/>
  <c r="I51" i="88" s="1"/>
  <c r="I57" i="75"/>
  <c r="H51" i="88" s="1"/>
  <c r="H57" i="75"/>
  <c r="G51" i="88" s="1"/>
  <c r="J56" i="75"/>
  <c r="I50" i="88" s="1"/>
  <c r="I56" i="75"/>
  <c r="H50" i="88" s="1"/>
  <c r="H56" i="75"/>
  <c r="G50" i="88" s="1"/>
  <c r="J55" i="75"/>
  <c r="I49" i="88" s="1"/>
  <c r="I55" i="75"/>
  <c r="H49" i="88" s="1"/>
  <c r="J54" i="75"/>
  <c r="I48" i="88" s="1"/>
  <c r="I54" i="75"/>
  <c r="H48" i="88" s="1"/>
  <c r="J53" i="75"/>
  <c r="I47" i="88" s="1"/>
  <c r="I53" i="75"/>
  <c r="H47" i="88" s="1"/>
  <c r="J52" i="75"/>
  <c r="I46" i="88" s="1"/>
  <c r="I52" i="75"/>
  <c r="H46" i="88" s="1"/>
  <c r="J51" i="75"/>
  <c r="I45" i="88" s="1"/>
  <c r="I51" i="75"/>
  <c r="H45" i="88" s="1"/>
  <c r="G45" i="88"/>
  <c r="J49" i="75"/>
  <c r="I43" i="88" s="1"/>
  <c r="I49" i="75"/>
  <c r="H43" i="88" s="1"/>
  <c r="G39" i="88"/>
  <c r="J42" i="75"/>
  <c r="I36" i="88" s="1"/>
  <c r="I42" i="75"/>
  <c r="H36" i="88" s="1"/>
  <c r="H42" i="75"/>
  <c r="G36" i="88" s="1"/>
  <c r="J41" i="75"/>
  <c r="I35" i="88" s="1"/>
  <c r="I41" i="75"/>
  <c r="H35" i="88" s="1"/>
  <c r="H41" i="75"/>
  <c r="G35" i="88" s="1"/>
  <c r="J40" i="75"/>
  <c r="I34" i="88" s="1"/>
  <c r="I40" i="75"/>
  <c r="H34" i="88" s="1"/>
  <c r="H40" i="75"/>
  <c r="G34" i="88" s="1"/>
  <c r="J39" i="75"/>
  <c r="I33" i="88" s="1"/>
  <c r="I39" i="75"/>
  <c r="H33" i="88" s="1"/>
  <c r="H39" i="75"/>
  <c r="G33" i="88" s="1"/>
  <c r="J38" i="75"/>
  <c r="I32" i="88" s="1"/>
  <c r="I38" i="75"/>
  <c r="H32" i="88" s="1"/>
  <c r="H38" i="75"/>
  <c r="G32" i="88" s="1"/>
  <c r="J37" i="75"/>
  <c r="I31" i="88" s="1"/>
  <c r="I37" i="75"/>
  <c r="H31" i="88" s="1"/>
  <c r="H37" i="75"/>
  <c r="G31" i="88" s="1"/>
  <c r="J36" i="75"/>
  <c r="I30" i="88" s="1"/>
  <c r="I36" i="75"/>
  <c r="H30" i="88" s="1"/>
  <c r="H36" i="75"/>
  <c r="G30" i="88" s="1"/>
  <c r="J35" i="75"/>
  <c r="I29" i="88" s="1"/>
  <c r="I35" i="75"/>
  <c r="H29" i="88" s="1"/>
  <c r="G29" i="88"/>
  <c r="J34" i="75"/>
  <c r="I28" i="88" s="1"/>
  <c r="I34" i="75"/>
  <c r="H28" i="88" s="1"/>
  <c r="H34" i="75"/>
  <c r="G28" i="88" s="1"/>
  <c r="J33" i="75"/>
  <c r="I27" i="88" s="1"/>
  <c r="I33" i="75"/>
  <c r="H27" i="88" s="1"/>
  <c r="H33" i="75"/>
  <c r="G27" i="88" s="1"/>
  <c r="J32" i="75"/>
  <c r="I26" i="88" s="1"/>
  <c r="I32" i="75"/>
  <c r="H26" i="88" s="1"/>
  <c r="H32" i="75"/>
  <c r="G26" i="88" s="1"/>
  <c r="J31" i="75"/>
  <c r="I25" i="88" s="1"/>
  <c r="I31" i="75"/>
  <c r="H25" i="88" s="1"/>
  <c r="H31" i="75"/>
  <c r="G25" i="88" s="1"/>
  <c r="J30" i="75"/>
  <c r="I24" i="88" s="1"/>
  <c r="I30" i="75"/>
  <c r="H24" i="88" s="1"/>
  <c r="H30" i="75"/>
  <c r="G24" i="88" s="1"/>
  <c r="J27" i="75"/>
  <c r="I23" i="88" s="1"/>
  <c r="I27" i="75"/>
  <c r="H23" i="88" s="1"/>
  <c r="H27" i="75"/>
  <c r="G23" i="88" s="1"/>
  <c r="J26" i="75"/>
  <c r="I22" i="88" s="1"/>
  <c r="I26" i="75"/>
  <c r="H22" i="88" s="1"/>
  <c r="H26" i="75"/>
  <c r="G22" i="88" s="1"/>
  <c r="J25" i="75"/>
  <c r="I21" i="88" s="1"/>
  <c r="I25" i="75"/>
  <c r="H21" i="88" s="1"/>
  <c r="H25" i="75"/>
  <c r="G21" i="88" s="1"/>
  <c r="J24" i="75"/>
  <c r="I20" i="88" s="1"/>
  <c r="I24" i="75"/>
  <c r="H20" i="88" s="1"/>
  <c r="H24" i="75"/>
  <c r="G20" i="88" s="1"/>
  <c r="J23" i="75"/>
  <c r="I19" i="88" s="1"/>
  <c r="I23" i="75"/>
  <c r="H19" i="88" s="1"/>
  <c r="H23" i="75"/>
  <c r="G19" i="88" s="1"/>
  <c r="J22" i="75"/>
  <c r="I18" i="88" s="1"/>
  <c r="I22" i="75"/>
  <c r="H18" i="88" s="1"/>
  <c r="H22" i="75"/>
  <c r="G18" i="88" s="1"/>
  <c r="J21" i="75"/>
  <c r="I17" i="88" s="1"/>
  <c r="I21" i="75"/>
  <c r="H17" i="88" s="1"/>
  <c r="H21" i="75"/>
  <c r="G17" i="88" s="1"/>
  <c r="J20" i="75"/>
  <c r="I16" i="88" s="1"/>
  <c r="I20" i="75"/>
  <c r="H16" i="88" s="1"/>
  <c r="H20" i="75"/>
  <c r="G16" i="88" s="1"/>
  <c r="J19" i="75"/>
  <c r="I15" i="88" s="1"/>
  <c r="I19" i="75"/>
  <c r="H15" i="88" s="1"/>
  <c r="H19" i="75"/>
  <c r="G15" i="88" s="1"/>
  <c r="J18" i="75"/>
  <c r="I14" i="88" s="1"/>
  <c r="I18" i="75"/>
  <c r="H14" i="88" s="1"/>
  <c r="H18" i="75"/>
  <c r="G14" i="88" s="1"/>
  <c r="J17" i="75"/>
  <c r="I13" i="88" s="1"/>
  <c r="I17" i="75"/>
  <c r="H13" i="88" s="1"/>
  <c r="H17" i="75"/>
  <c r="G13" i="88" s="1"/>
  <c r="J16" i="75"/>
  <c r="I12" i="88" s="1"/>
  <c r="I16" i="75"/>
  <c r="H12" i="88" s="1"/>
  <c r="H16" i="75"/>
  <c r="G12" i="88" s="1"/>
  <c r="J14" i="75"/>
  <c r="I10" i="88" s="1"/>
  <c r="I14" i="75"/>
  <c r="H10" i="88" s="1"/>
  <c r="H14" i="75"/>
  <c r="G10" i="88" s="1"/>
  <c r="J13" i="75"/>
  <c r="I9" i="88" s="1"/>
  <c r="I13" i="75"/>
  <c r="H9" i="88" s="1"/>
  <c r="H13" i="75"/>
  <c r="G9" i="88" s="1"/>
  <c r="J13" i="68"/>
  <c r="J13" i="78" s="1"/>
  <c r="R9" i="88" s="1"/>
  <c r="I13" i="68"/>
  <c r="I13" i="78" s="1"/>
  <c r="Q9" i="88" s="1"/>
  <c r="I68" i="68"/>
  <c r="I68" i="78" s="1"/>
  <c r="I98" i="15" s="1"/>
  <c r="J65" i="68"/>
  <c r="J65" i="78" s="1"/>
  <c r="J95" i="15" s="1"/>
  <c r="I65" i="68"/>
  <c r="I65" i="78" s="1"/>
  <c r="J64" i="68"/>
  <c r="J64" i="78" s="1"/>
  <c r="J94" i="15" s="1"/>
  <c r="I64" i="68"/>
  <c r="I64" i="78" s="1"/>
  <c r="I94" i="15" s="1"/>
  <c r="J63" i="68"/>
  <c r="J63" i="78" s="1"/>
  <c r="J93" i="15" s="1"/>
  <c r="I63" i="68"/>
  <c r="I63" i="78" s="1"/>
  <c r="J62" i="68"/>
  <c r="J62" i="78" s="1"/>
  <c r="R56" i="88" s="1"/>
  <c r="J61" i="68"/>
  <c r="J61" i="78" s="1"/>
  <c r="J91" i="15" s="1"/>
  <c r="I61" i="68"/>
  <c r="I61" i="78" s="1"/>
  <c r="I91" i="15" s="1"/>
  <c r="J60" i="68"/>
  <c r="J60" i="78" s="1"/>
  <c r="J90" i="15" s="1"/>
  <c r="I60" i="68"/>
  <c r="I60" i="78" s="1"/>
  <c r="J59" i="68"/>
  <c r="J59" i="78" s="1"/>
  <c r="J89" i="15" s="1"/>
  <c r="I59" i="68"/>
  <c r="I59" i="78" s="1"/>
  <c r="I89" i="15" s="1"/>
  <c r="J58" i="68"/>
  <c r="J58" i="78" s="1"/>
  <c r="J88" i="15" s="1"/>
  <c r="I58" i="68"/>
  <c r="I58" i="78" s="1"/>
  <c r="J57" i="68"/>
  <c r="J57" i="78" s="1"/>
  <c r="J87" i="15" s="1"/>
  <c r="I57" i="68"/>
  <c r="I57" i="78" s="1"/>
  <c r="I87" i="15" s="1"/>
  <c r="J56" i="68"/>
  <c r="J56" i="78" s="1"/>
  <c r="J85" i="15" s="1"/>
  <c r="J54" i="68"/>
  <c r="J54" i="78" s="1"/>
  <c r="I54" i="68"/>
  <c r="I54" i="78" s="1"/>
  <c r="H54" i="68"/>
  <c r="H54" i="78" s="1"/>
  <c r="H53" i="68"/>
  <c r="H53" i="78" s="1"/>
  <c r="P47" i="88" s="1"/>
  <c r="J52" i="68"/>
  <c r="J52" i="78" s="1"/>
  <c r="I52" i="68"/>
  <c r="I52" i="78" s="1"/>
  <c r="H52" i="68"/>
  <c r="H52" i="78" s="1"/>
  <c r="J51" i="68"/>
  <c r="J51" i="78" s="1"/>
  <c r="I51" i="68"/>
  <c r="I51" i="78" s="1"/>
  <c r="H51" i="68"/>
  <c r="H51" i="78" s="1"/>
  <c r="J49" i="68"/>
  <c r="J49" i="78" s="1"/>
  <c r="I49" i="68"/>
  <c r="I49" i="78" s="1"/>
  <c r="H49" i="68"/>
  <c r="H49" i="78" s="1"/>
  <c r="J45" i="68"/>
  <c r="J45" i="78" s="1"/>
  <c r="I45" i="68"/>
  <c r="I45" i="78" s="1"/>
  <c r="H45" i="68"/>
  <c r="H45" i="78" s="1"/>
  <c r="J42" i="68"/>
  <c r="J42" i="78" s="1"/>
  <c r="R36" i="88" s="1"/>
  <c r="I42" i="68"/>
  <c r="I42" i="78" s="1"/>
  <c r="Q36" i="88" s="1"/>
  <c r="H42" i="68"/>
  <c r="H42" i="78" s="1"/>
  <c r="P36" i="88" s="1"/>
  <c r="J41" i="68"/>
  <c r="J41" i="78" s="1"/>
  <c r="I41" i="68"/>
  <c r="I41" i="78" s="1"/>
  <c r="Q35" i="88" s="1"/>
  <c r="H41" i="68"/>
  <c r="H41" i="78" s="1"/>
  <c r="H70" i="15" s="1"/>
  <c r="H69" i="15" s="1"/>
  <c r="J40" i="68"/>
  <c r="J40" i="78" s="1"/>
  <c r="R34" i="88" s="1"/>
  <c r="I40" i="68"/>
  <c r="I40" i="78" s="1"/>
  <c r="Q34" i="88" s="1"/>
  <c r="H40" i="68"/>
  <c r="H40" i="78" s="1"/>
  <c r="P34" i="88" s="1"/>
  <c r="J39" i="68"/>
  <c r="J39" i="78" s="1"/>
  <c r="R33" i="88" s="1"/>
  <c r="I39" i="68"/>
  <c r="I39" i="78" s="1"/>
  <c r="Q33" i="88" s="1"/>
  <c r="H39" i="68"/>
  <c r="H39" i="78" s="1"/>
  <c r="P33" i="88" s="1"/>
  <c r="J38" i="68"/>
  <c r="J38" i="78" s="1"/>
  <c r="R32" i="88" s="1"/>
  <c r="I38" i="68"/>
  <c r="I38" i="78" s="1"/>
  <c r="Q32" i="88" s="1"/>
  <c r="H38" i="68"/>
  <c r="H38" i="78" s="1"/>
  <c r="P32" i="88" s="1"/>
  <c r="J37" i="68"/>
  <c r="J37" i="78" s="1"/>
  <c r="R31" i="88" s="1"/>
  <c r="I37" i="68"/>
  <c r="I37" i="78" s="1"/>
  <c r="Q31" i="88" s="1"/>
  <c r="H37" i="68"/>
  <c r="H37" i="78" s="1"/>
  <c r="P31" i="88" s="1"/>
  <c r="J36" i="68"/>
  <c r="J36" i="78" s="1"/>
  <c r="R30" i="88" s="1"/>
  <c r="I36" i="68"/>
  <c r="I36" i="78" s="1"/>
  <c r="Q30" i="88" s="1"/>
  <c r="H36" i="68"/>
  <c r="H36" i="78" s="1"/>
  <c r="P30" i="88" s="1"/>
  <c r="J35" i="68"/>
  <c r="J35" i="78" s="1"/>
  <c r="R29" i="88" s="1"/>
  <c r="I35" i="68"/>
  <c r="I35" i="78" s="1"/>
  <c r="Q29" i="88" s="1"/>
  <c r="H35" i="68"/>
  <c r="H35" i="78" s="1"/>
  <c r="P29" i="88" s="1"/>
  <c r="J34" i="68"/>
  <c r="J34" i="78" s="1"/>
  <c r="R28" i="88" s="1"/>
  <c r="I34" i="68"/>
  <c r="I34" i="78" s="1"/>
  <c r="Q28" i="88" s="1"/>
  <c r="H34" i="68"/>
  <c r="H34" i="78" s="1"/>
  <c r="P28" i="88" s="1"/>
  <c r="J33" i="68"/>
  <c r="J33" i="78" s="1"/>
  <c r="R27" i="88" s="1"/>
  <c r="I33" i="68"/>
  <c r="I33" i="78" s="1"/>
  <c r="Q27" i="88" s="1"/>
  <c r="H33" i="68"/>
  <c r="H33" i="78" s="1"/>
  <c r="P27" i="88" s="1"/>
  <c r="J32" i="68"/>
  <c r="J32" i="78" s="1"/>
  <c r="R26" i="88" s="1"/>
  <c r="I32" i="68"/>
  <c r="I32" i="78" s="1"/>
  <c r="Q26" i="88" s="1"/>
  <c r="H32" i="68"/>
  <c r="H32" i="78" s="1"/>
  <c r="P26" i="88" s="1"/>
  <c r="J31" i="68"/>
  <c r="J31" i="78" s="1"/>
  <c r="R25" i="88" s="1"/>
  <c r="I31" i="68"/>
  <c r="I31" i="78" s="1"/>
  <c r="Q25" i="88" s="1"/>
  <c r="H31" i="68"/>
  <c r="H31" i="78" s="1"/>
  <c r="P25" i="88" s="1"/>
  <c r="J30" i="68"/>
  <c r="J30" i="78" s="1"/>
  <c r="R24" i="88" s="1"/>
  <c r="I30" i="68"/>
  <c r="I30" i="78" s="1"/>
  <c r="I61" i="15" s="1"/>
  <c r="I56" i="15" s="1"/>
  <c r="H30" i="78"/>
  <c r="P24" i="88" s="1"/>
  <c r="J27" i="68"/>
  <c r="J27" i="78" s="1"/>
  <c r="R23" i="88" s="1"/>
  <c r="I27" i="68"/>
  <c r="I27" i="78" s="1"/>
  <c r="Q23" i="88" s="1"/>
  <c r="H27" i="68"/>
  <c r="H27" i="78" s="1"/>
  <c r="P23" i="88" s="1"/>
  <c r="J26" i="68"/>
  <c r="J26" i="78" s="1"/>
  <c r="R22" i="88" s="1"/>
  <c r="I26" i="68"/>
  <c r="I26" i="78" s="1"/>
  <c r="Q22" i="88" s="1"/>
  <c r="H26" i="78"/>
  <c r="P22" i="88" s="1"/>
  <c r="J25" i="68"/>
  <c r="J25" i="78" s="1"/>
  <c r="R21" i="88" s="1"/>
  <c r="I25" i="68"/>
  <c r="I25" i="78" s="1"/>
  <c r="Q21" i="88" s="1"/>
  <c r="H25" i="68"/>
  <c r="H25" i="78" s="1"/>
  <c r="P21" i="88" s="1"/>
  <c r="J24" i="68"/>
  <c r="J24" i="78" s="1"/>
  <c r="R20" i="88" s="1"/>
  <c r="I24" i="68"/>
  <c r="I24" i="78" s="1"/>
  <c r="Q20" i="88" s="1"/>
  <c r="H24" i="68"/>
  <c r="H24" i="78" s="1"/>
  <c r="P20" i="88" s="1"/>
  <c r="J23" i="68"/>
  <c r="J23" i="78" s="1"/>
  <c r="R19" i="88" s="1"/>
  <c r="I23" i="68"/>
  <c r="I23" i="78" s="1"/>
  <c r="Q19" i="88" s="1"/>
  <c r="H23" i="68"/>
  <c r="H23" i="78" s="1"/>
  <c r="P19" i="88" s="1"/>
  <c r="J22" i="68"/>
  <c r="J22" i="78" s="1"/>
  <c r="R18" i="88" s="1"/>
  <c r="H22" i="68"/>
  <c r="H22" i="78" s="1"/>
  <c r="P18" i="88" s="1"/>
  <c r="J21" i="68"/>
  <c r="J21" i="78" s="1"/>
  <c r="R17" i="88" s="1"/>
  <c r="I21" i="68"/>
  <c r="I21" i="78" s="1"/>
  <c r="Q17" i="88" s="1"/>
  <c r="H21" i="68"/>
  <c r="H21" i="78" s="1"/>
  <c r="P17" i="88" s="1"/>
  <c r="J20" i="68"/>
  <c r="J20" i="78" s="1"/>
  <c r="R16" i="88" s="1"/>
  <c r="I20" i="68"/>
  <c r="I20" i="78" s="1"/>
  <c r="Q16" i="88" s="1"/>
  <c r="H20" i="68"/>
  <c r="H20" i="78" s="1"/>
  <c r="P16" i="88" s="1"/>
  <c r="J19" i="68"/>
  <c r="J19" i="78" s="1"/>
  <c r="I19" i="68"/>
  <c r="I19" i="78" s="1"/>
  <c r="I52" i="15" s="1"/>
  <c r="H19" i="68"/>
  <c r="H19" i="78" s="1"/>
  <c r="J18" i="68"/>
  <c r="J18" i="78" s="1"/>
  <c r="R14" i="88" s="1"/>
  <c r="I18" i="68"/>
  <c r="I18" i="78" s="1"/>
  <c r="I48" i="15" s="1"/>
  <c r="I46" i="15" s="1"/>
  <c r="H18" i="68"/>
  <c r="H18" i="78" s="1"/>
  <c r="H48" i="15" s="1"/>
  <c r="H46" i="15" s="1"/>
  <c r="J17" i="68"/>
  <c r="J17" i="78" s="1"/>
  <c r="R13" i="88" s="1"/>
  <c r="I17" i="68"/>
  <c r="I17" i="78" s="1"/>
  <c r="Q13" i="88" s="1"/>
  <c r="H17" i="68"/>
  <c r="H17" i="78" s="1"/>
  <c r="P13" i="88" s="1"/>
  <c r="J16" i="68"/>
  <c r="J16" i="78" s="1"/>
  <c r="R12" i="88" s="1"/>
  <c r="I16" i="68"/>
  <c r="I16" i="78" s="1"/>
  <c r="Q12" i="88" s="1"/>
  <c r="H16" i="68"/>
  <c r="H16" i="78" s="1"/>
  <c r="P12" i="88" s="1"/>
  <c r="J15" i="68"/>
  <c r="J15" i="78" s="1"/>
  <c r="R11" i="88" s="1"/>
  <c r="I15" i="68"/>
  <c r="I15" i="78" s="1"/>
  <c r="Q11" i="88" s="1"/>
  <c r="J14" i="68"/>
  <c r="J14" i="78" s="1"/>
  <c r="R10" i="88" s="1"/>
  <c r="I14" i="68"/>
  <c r="I14" i="78" s="1"/>
  <c r="Q10" i="88" s="1"/>
  <c r="H14" i="68"/>
  <c r="H14" i="78" s="1"/>
  <c r="H13" i="68"/>
  <c r="H13" i="78" s="1"/>
  <c r="P9" i="88" s="1"/>
  <c r="CA50" i="63"/>
  <c r="I53" i="68"/>
  <c r="I53" i="78" s="1"/>
  <c r="J44" i="68"/>
  <c r="J44" i="78" s="1"/>
  <c r="R38" i="88" s="1"/>
  <c r="I69" i="68"/>
  <c r="I69" i="78" s="1"/>
  <c r="J68" i="68"/>
  <c r="J68" i="78" s="1"/>
  <c r="J98" i="15" s="1"/>
  <c r="I44" i="68"/>
  <c r="I44" i="78" s="1"/>
  <c r="Q38" i="88" s="1"/>
  <c r="J69" i="68"/>
  <c r="J69" i="78" s="1"/>
  <c r="I70" i="68"/>
  <c r="I70" i="78" s="1"/>
  <c r="Q64" i="88" s="1"/>
  <c r="H57" i="68"/>
  <c r="H57" i="78" s="1"/>
  <c r="P51" i="88" s="1"/>
  <c r="I71" i="68"/>
  <c r="I71" i="78" s="1"/>
  <c r="J70" i="68"/>
  <c r="J70" i="78" s="1"/>
  <c r="J100" i="15" s="1"/>
  <c r="H58" i="68"/>
  <c r="H58" i="78" s="1"/>
  <c r="P52" i="88" s="1"/>
  <c r="J71" i="68"/>
  <c r="J71" i="78" s="1"/>
  <c r="R65" i="88" s="1"/>
  <c r="I75" i="68"/>
  <c r="I75" i="78" s="1"/>
  <c r="Q66" i="88" s="1"/>
  <c r="H59" i="68"/>
  <c r="H59" i="78" s="1"/>
  <c r="H89" i="15" s="1"/>
  <c r="I76" i="68"/>
  <c r="I76" i="78" s="1"/>
  <c r="J75" i="68"/>
  <c r="J75" i="78" s="1"/>
  <c r="R66" i="88" s="1"/>
  <c r="H60" i="68"/>
  <c r="H60" i="78" s="1"/>
  <c r="P54" i="88" s="1"/>
  <c r="J76" i="68"/>
  <c r="J76" i="78" s="1"/>
  <c r="H61" i="68"/>
  <c r="H61" i="78" s="1"/>
  <c r="H91" i="15" s="1"/>
  <c r="I79" i="68"/>
  <c r="I79" i="78" s="1"/>
  <c r="J79" i="68"/>
  <c r="J79" i="78" s="1"/>
  <c r="R69" i="88" s="1"/>
  <c r="Q70" i="88"/>
  <c r="H63" i="68"/>
  <c r="H63" i="78" s="1"/>
  <c r="P57" i="88" s="1"/>
  <c r="I82" i="68"/>
  <c r="I82" i="78" s="1"/>
  <c r="Q71" i="88" s="1"/>
  <c r="R70" i="88"/>
  <c r="H64" i="68"/>
  <c r="H64" i="78" s="1"/>
  <c r="H94" i="15" s="1"/>
  <c r="J82" i="68"/>
  <c r="J82" i="78" s="1"/>
  <c r="R71" i="88" s="1"/>
  <c r="H65" i="68"/>
  <c r="H65" i="78" s="1"/>
  <c r="I84" i="68"/>
  <c r="H68" i="68"/>
  <c r="H68" i="78" s="1"/>
  <c r="P62" i="88" s="1"/>
  <c r="J84" i="68"/>
  <c r="I85" i="68"/>
  <c r="I84" i="78" s="1"/>
  <c r="Q73" i="88" s="1"/>
  <c r="H69" i="68"/>
  <c r="H69" i="78" s="1"/>
  <c r="J85" i="68"/>
  <c r="J84" i="78" s="1"/>
  <c r="R73" i="88" s="1"/>
  <c r="H70" i="68"/>
  <c r="H70" i="78" s="1"/>
  <c r="P64" i="88" s="1"/>
  <c r="I101" i="68"/>
  <c r="I100" i="78" s="1"/>
  <c r="Q88" i="88" s="1"/>
  <c r="H71" i="68"/>
  <c r="H71" i="78" s="1"/>
  <c r="P65" i="88" s="1"/>
  <c r="I102" i="68"/>
  <c r="I101" i="78" s="1"/>
  <c r="I130" i="15" s="1"/>
  <c r="J101" i="68"/>
  <c r="J100" i="78" s="1"/>
  <c r="R88" i="88" s="1"/>
  <c r="J102" i="68"/>
  <c r="J101" i="78" s="1"/>
  <c r="I103" i="68"/>
  <c r="I102" i="78" s="1"/>
  <c r="H76" i="68"/>
  <c r="H76" i="78" s="1"/>
  <c r="H107" i="15" s="1"/>
  <c r="I104" i="68"/>
  <c r="I103" i="78" s="1"/>
  <c r="J103" i="68"/>
  <c r="J102" i="78" s="1"/>
  <c r="J131" i="15" s="1"/>
  <c r="J104" i="68"/>
  <c r="J103" i="78" s="1"/>
  <c r="R91" i="88" s="1"/>
  <c r="I105" i="68"/>
  <c r="I104" i="78" s="1"/>
  <c r="H79" i="68"/>
  <c r="H79" i="78" s="1"/>
  <c r="I106" i="68"/>
  <c r="I105" i="78" s="1"/>
  <c r="Q93" i="88" s="1"/>
  <c r="J105" i="68"/>
  <c r="J104" i="78" s="1"/>
  <c r="R92" i="88" s="1"/>
  <c r="P70" i="88"/>
  <c r="J106" i="68"/>
  <c r="J105" i="78" s="1"/>
  <c r="I107" i="68"/>
  <c r="I106" i="78" s="1"/>
  <c r="H82" i="68"/>
  <c r="H82" i="78" s="1"/>
  <c r="I108" i="68"/>
  <c r="I107" i="78" s="1"/>
  <c r="Q95" i="88" s="1"/>
  <c r="I109" i="68"/>
  <c r="I108" i="78" s="1"/>
  <c r="Q96" i="88" s="1"/>
  <c r="J107" i="68"/>
  <c r="J106" i="78" s="1"/>
  <c r="R94" i="88" s="1"/>
  <c r="J109" i="68"/>
  <c r="J108" i="78" s="1"/>
  <c r="R96" i="88" s="1"/>
  <c r="J108" i="68"/>
  <c r="J107" i="78" s="1"/>
  <c r="H84" i="68"/>
  <c r="H85" i="68"/>
  <c r="H84" i="78" s="1"/>
  <c r="P73" i="88" s="1"/>
  <c r="H101" i="68"/>
  <c r="H100" i="78" s="1"/>
  <c r="H102" i="68"/>
  <c r="H101" i="78" s="1"/>
  <c r="P89" i="88" s="1"/>
  <c r="H103" i="68"/>
  <c r="H102" i="78" s="1"/>
  <c r="H104" i="68"/>
  <c r="H103" i="78" s="1"/>
  <c r="P91" i="88" s="1"/>
  <c r="H105" i="68"/>
  <c r="H104" i="78" s="1"/>
  <c r="H106" i="68"/>
  <c r="H105" i="78" s="1"/>
  <c r="P93" i="88" s="1"/>
  <c r="H107" i="68"/>
  <c r="H106" i="78" s="1"/>
  <c r="P94" i="88" s="1"/>
  <c r="H109" i="68"/>
  <c r="H108" i="78" s="1"/>
  <c r="P96" i="88" s="1"/>
  <c r="H108" i="68"/>
  <c r="H107" i="78" s="1"/>
  <c r="K137" i="15" s="1"/>
  <c r="J83" i="68"/>
  <c r="J45" i="75"/>
  <c r="I39" i="88" s="1"/>
  <c r="I45" i="75"/>
  <c r="H39" i="88" s="1"/>
  <c r="H92" i="75"/>
  <c r="G83" i="88" s="1"/>
  <c r="H88" i="75"/>
  <c r="G79" i="88" s="1"/>
  <c r="J93" i="75"/>
  <c r="I84" i="88" s="1"/>
  <c r="I92" i="75"/>
  <c r="H83" i="88" s="1"/>
  <c r="H80" i="86"/>
  <c r="AH72" i="88" s="1"/>
  <c r="H43" i="86"/>
  <c r="AH38" i="88" s="1"/>
  <c r="I43" i="86"/>
  <c r="AI38" i="88" s="1"/>
  <c r="H44" i="85"/>
  <c r="J44" i="85"/>
  <c r="AA39" i="88" s="1"/>
  <c r="I80" i="85"/>
  <c r="Z72" i="88" s="1"/>
  <c r="H15" i="87"/>
  <c r="J15" i="87"/>
  <c r="I61" i="85"/>
  <c r="Z56" i="88" s="1"/>
  <c r="H61" i="85"/>
  <c r="I52" i="85"/>
  <c r="Z47" i="88" s="1"/>
  <c r="H43" i="85"/>
  <c r="Y38" i="88" s="1"/>
  <c r="J43" i="85"/>
  <c r="AA38" i="88" s="1"/>
  <c r="I15" i="85"/>
  <c r="Z11" i="88" s="1"/>
  <c r="J15" i="85"/>
  <c r="AA11" i="88" s="1"/>
  <c r="N43" i="68"/>
  <c r="N43" i="78" s="1"/>
  <c r="H44" i="68"/>
  <c r="H44" i="78" s="1"/>
  <c r="P38" i="88" s="1"/>
  <c r="J64" i="15"/>
  <c r="J62" i="15" s="1"/>
  <c r="AJ27" i="88"/>
  <c r="AI39" i="88"/>
  <c r="AH9" i="88"/>
  <c r="AH27" i="88"/>
  <c r="AH57" i="88"/>
  <c r="AH70" i="88"/>
  <c r="AH74" i="88"/>
  <c r="AH76" i="88"/>
  <c r="AH78" i="88"/>
  <c r="AH82" i="88"/>
  <c r="AH84" i="88"/>
  <c r="AH86" i="88"/>
  <c r="AH88" i="88"/>
  <c r="AH90" i="88"/>
  <c r="AH92" i="88"/>
  <c r="AH94" i="88"/>
  <c r="AH96" i="88"/>
  <c r="I64" i="15"/>
  <c r="I62" i="15" s="1"/>
  <c r="AI27" i="88"/>
  <c r="AJ39" i="88"/>
  <c r="AH77" i="88"/>
  <c r="AH79" i="88"/>
  <c r="G80" i="88"/>
  <c r="I43" i="85"/>
  <c r="Z38" i="88" s="1"/>
  <c r="L42" i="85"/>
  <c r="M42" i="85"/>
  <c r="M128" i="85" s="1"/>
  <c r="H80" i="85"/>
  <c r="Q53" i="88"/>
  <c r="Q58" i="88"/>
  <c r="K77" i="75"/>
  <c r="R50" i="88"/>
  <c r="R52" i="88"/>
  <c r="R54" i="88"/>
  <c r="R57" i="88"/>
  <c r="R59" i="88"/>
  <c r="H100" i="15"/>
  <c r="H90" i="68"/>
  <c r="H89" i="78" s="1"/>
  <c r="H88" i="68"/>
  <c r="H87" i="78" s="1"/>
  <c r="H91" i="78"/>
  <c r="H91" i="68"/>
  <c r="H90" i="78" s="1"/>
  <c r="I91" i="68"/>
  <c r="I90" i="78" s="1"/>
  <c r="O83" i="68"/>
  <c r="T83" i="78"/>
  <c r="C13" i="79"/>
  <c r="F13" i="79"/>
  <c r="H13" i="79"/>
  <c r="K13" i="79"/>
  <c r="O13" i="79"/>
  <c r="F14" i="79"/>
  <c r="H14" i="79"/>
  <c r="H13" i="83" s="1"/>
  <c r="L14" i="79"/>
  <c r="O14" i="79"/>
  <c r="Q17" i="79"/>
  <c r="J16" i="83"/>
  <c r="Q18" i="79"/>
  <c r="D18" i="83"/>
  <c r="N18" i="83"/>
  <c r="M19" i="83"/>
  <c r="J20" i="83"/>
  <c r="D21" i="83"/>
  <c r="M21" i="83"/>
  <c r="J22" i="83"/>
  <c r="D23" i="83"/>
  <c r="M23" i="83"/>
  <c r="J24" i="83"/>
  <c r="D25" i="83"/>
  <c r="M25" i="83"/>
  <c r="D27" i="83"/>
  <c r="M27" i="83"/>
  <c r="J28" i="83"/>
  <c r="D29" i="83"/>
  <c r="Q29" i="83" s="1"/>
  <c r="D31" i="83"/>
  <c r="M31" i="83"/>
  <c r="D16" i="80"/>
  <c r="D14" i="80" s="1"/>
  <c r="M19" i="80"/>
  <c r="Q17" i="80"/>
  <c r="G15" i="81"/>
  <c r="G13" i="81" s="1"/>
  <c r="G16" i="83"/>
  <c r="J16" i="81"/>
  <c r="J14" i="81"/>
  <c r="D20" i="81"/>
  <c r="D16" i="81" s="1"/>
  <c r="E19" i="83"/>
  <c r="Q19" i="82"/>
  <c r="M15" i="82"/>
  <c r="I79" i="15"/>
  <c r="N13" i="83"/>
  <c r="N17" i="83"/>
  <c r="M18" i="81"/>
  <c r="M17" i="83" s="1"/>
  <c r="J19" i="81"/>
  <c r="J15" i="81" s="1"/>
  <c r="J18" i="83"/>
  <c r="L15" i="81"/>
  <c r="L13" i="81"/>
  <c r="L33" i="81" s="1"/>
  <c r="L18" i="83"/>
  <c r="Q35" i="81"/>
  <c r="Y15" i="88"/>
  <c r="H50" i="15"/>
  <c r="AA15" i="88"/>
  <c r="J50" i="15"/>
  <c r="O42" i="85"/>
  <c r="O128" i="85" s="1"/>
  <c r="D31" i="81"/>
  <c r="D30" i="83" s="1"/>
  <c r="J31" i="81"/>
  <c r="J30" i="83" s="1"/>
  <c r="Y9" i="88"/>
  <c r="AA9" i="88"/>
  <c r="Z15" i="88"/>
  <c r="I50" i="15"/>
  <c r="K42" i="85"/>
  <c r="K124" i="87"/>
  <c r="Z9" i="88"/>
  <c r="Z68" i="88"/>
  <c r="P41" i="87"/>
  <c r="P124" i="87" s="1"/>
  <c r="R42" i="85"/>
  <c r="R128" i="85" s="1"/>
  <c r="P42" i="85"/>
  <c r="P128" i="85" s="1"/>
  <c r="U42" i="85"/>
  <c r="U128" i="85" s="1"/>
  <c r="Q42" i="85"/>
  <c r="Q128" i="85" s="1"/>
  <c r="S42" i="85"/>
  <c r="S128" i="85" s="1"/>
  <c r="T42" i="85"/>
  <c r="T128" i="85" s="1"/>
  <c r="V42" i="85"/>
  <c r="V128" i="85" s="1"/>
  <c r="K128" i="85"/>
  <c r="Q19" i="81"/>
  <c r="M15" i="80"/>
  <c r="M13" i="80" s="1"/>
  <c r="G14" i="83"/>
  <c r="L13" i="83"/>
  <c r="L33" i="79"/>
  <c r="L12" i="83"/>
  <c r="D13" i="81"/>
  <c r="Q18" i="81"/>
  <c r="D19" i="83"/>
  <c r="L14" i="83"/>
  <c r="O33" i="79"/>
  <c r="H12" i="83"/>
  <c r="H33" i="79"/>
  <c r="F12" i="83"/>
  <c r="F33" i="79"/>
  <c r="H88" i="15"/>
  <c r="H90" i="15"/>
  <c r="P14" i="88"/>
  <c r="Q15" i="88"/>
  <c r="H29" i="86"/>
  <c r="N15" i="86"/>
  <c r="H51" i="15"/>
  <c r="H15" i="75"/>
  <c r="H126" i="15"/>
  <c r="K83" i="68"/>
  <c r="I102" i="15"/>
  <c r="P75" i="88"/>
  <c r="M15" i="78"/>
  <c r="P41" i="88"/>
  <c r="T15" i="86"/>
  <c r="T128" i="86" s="1"/>
  <c r="AH51" i="88" l="1"/>
  <c r="H86" i="15"/>
  <c r="H85" i="15" s="1"/>
  <c r="I33" i="82"/>
  <c r="G33" i="81"/>
  <c r="G12" i="83"/>
  <c r="K33" i="80"/>
  <c r="K12" i="83"/>
  <c r="M13" i="82"/>
  <c r="M33" i="82" s="1"/>
  <c r="M18" i="83"/>
  <c r="Q18" i="83" s="1"/>
  <c r="R18" i="83" s="1"/>
  <c r="Q28" i="83"/>
  <c r="R28" i="83" s="1"/>
  <c r="Y72" i="88"/>
  <c r="P69" i="88"/>
  <c r="K109" i="15"/>
  <c r="G96" i="88"/>
  <c r="K136" i="15"/>
  <c r="E13" i="83"/>
  <c r="I13" i="83"/>
  <c r="D16" i="79"/>
  <c r="D14" i="79" s="1"/>
  <c r="H33" i="80"/>
  <c r="Q17" i="81"/>
  <c r="Q20" i="81"/>
  <c r="J33" i="82"/>
  <c r="Q31" i="82"/>
  <c r="Y12" i="88"/>
  <c r="K46" i="15"/>
  <c r="Y14" i="88"/>
  <c r="K48" i="15"/>
  <c r="Y17" i="88"/>
  <c r="K51" i="15"/>
  <c r="Y19" i="88"/>
  <c r="K53" i="15"/>
  <c r="Y20" i="88"/>
  <c r="K54" i="15"/>
  <c r="Y22" i="88"/>
  <c r="Y24" i="88"/>
  <c r="Y26" i="88"/>
  <c r="K61" i="15"/>
  <c r="Y41" i="88"/>
  <c r="K76" i="15"/>
  <c r="Y43" i="88"/>
  <c r="Y45" i="88"/>
  <c r="K80" i="15"/>
  <c r="Y48" i="88"/>
  <c r="Y50" i="88"/>
  <c r="K85" i="15"/>
  <c r="Y52" i="88"/>
  <c r="K88" i="15"/>
  <c r="L88" i="15" s="1"/>
  <c r="Y54" i="88"/>
  <c r="K90" i="15"/>
  <c r="L90" i="15" s="1"/>
  <c r="Y59" i="88"/>
  <c r="K95" i="15"/>
  <c r="Y61" i="88"/>
  <c r="K97" i="15"/>
  <c r="Y63" i="88"/>
  <c r="K99" i="15"/>
  <c r="Y65" i="88"/>
  <c r="K101" i="15"/>
  <c r="Y67" i="88"/>
  <c r="K106" i="15"/>
  <c r="J80" i="85"/>
  <c r="AA72" i="88" s="1"/>
  <c r="Y74" i="88"/>
  <c r="Y76" i="88"/>
  <c r="K115" i="15"/>
  <c r="Y78" i="88"/>
  <c r="K117" i="15"/>
  <c r="Y80" i="88"/>
  <c r="K119" i="15"/>
  <c r="Y82" i="88"/>
  <c r="K121" i="15"/>
  <c r="Y83" i="88"/>
  <c r="K122" i="15"/>
  <c r="Y86" i="88"/>
  <c r="K125" i="15"/>
  <c r="L125" i="15" s="1"/>
  <c r="Y88" i="88"/>
  <c r="Y90" i="88"/>
  <c r="K129" i="15"/>
  <c r="Y92" i="88"/>
  <c r="K131" i="15"/>
  <c r="Y94" i="88"/>
  <c r="K133" i="15"/>
  <c r="Y96" i="88"/>
  <c r="K135" i="15"/>
  <c r="P42" i="86"/>
  <c r="H41" i="87"/>
  <c r="J76" i="87"/>
  <c r="P81" i="75"/>
  <c r="H55" i="75"/>
  <c r="G49" i="88" s="1"/>
  <c r="H49" i="75"/>
  <c r="G43" i="88" s="1"/>
  <c r="H97" i="75"/>
  <c r="G87" i="88" s="1"/>
  <c r="H54" i="75"/>
  <c r="G48" i="88" s="1"/>
  <c r="T52" i="75"/>
  <c r="T44" i="75" s="1"/>
  <c r="T43" i="75" s="1"/>
  <c r="K59" i="15"/>
  <c r="H59" i="15"/>
  <c r="AL41" i="88"/>
  <c r="Q24" i="83"/>
  <c r="R24" i="83" s="1"/>
  <c r="Y56" i="88"/>
  <c r="Y39" i="88"/>
  <c r="K74" i="15"/>
  <c r="H44" i="75"/>
  <c r="M81" i="75"/>
  <c r="U81" i="75"/>
  <c r="C14" i="79"/>
  <c r="C33" i="79" s="1"/>
  <c r="K14" i="79"/>
  <c r="M16" i="79"/>
  <c r="M14" i="79" s="1"/>
  <c r="M33" i="79" s="1"/>
  <c r="Q31" i="79"/>
  <c r="D15" i="80"/>
  <c r="D13" i="80" s="1"/>
  <c r="J16" i="80"/>
  <c r="J14" i="80" s="1"/>
  <c r="N15" i="80"/>
  <c r="N13" i="80" s="1"/>
  <c r="N33" i="80" s="1"/>
  <c r="J15" i="80"/>
  <c r="J13" i="80" s="1"/>
  <c r="M16" i="80"/>
  <c r="M14" i="80" s="1"/>
  <c r="H33" i="81"/>
  <c r="O13" i="83"/>
  <c r="F16" i="81"/>
  <c r="Q21" i="81"/>
  <c r="Q23" i="81"/>
  <c r="Q25" i="81"/>
  <c r="Q27" i="81"/>
  <c r="Q29" i="81"/>
  <c r="D33" i="82"/>
  <c r="Y13" i="88"/>
  <c r="K47" i="15"/>
  <c r="K49" i="15"/>
  <c r="Y18" i="88"/>
  <c r="K52" i="15"/>
  <c r="Y21" i="88"/>
  <c r="K55" i="15"/>
  <c r="Y25" i="88"/>
  <c r="K60" i="15"/>
  <c r="Y40" i="88"/>
  <c r="K75" i="15"/>
  <c r="Y42" i="88"/>
  <c r="K77" i="15"/>
  <c r="Y44" i="88"/>
  <c r="K79" i="15"/>
  <c r="Y49" i="88"/>
  <c r="Y51" i="88"/>
  <c r="K87" i="15"/>
  <c r="Y53" i="88"/>
  <c r="K89" i="15"/>
  <c r="L89" i="15" s="1"/>
  <c r="Y55" i="88"/>
  <c r="K91" i="15"/>
  <c r="L91" i="15" s="1"/>
  <c r="Y57" i="88"/>
  <c r="K93" i="15"/>
  <c r="Y58" i="88"/>
  <c r="K94" i="15"/>
  <c r="L94" i="15" s="1"/>
  <c r="Y60" i="88"/>
  <c r="K96" i="15"/>
  <c r="Y62" i="88"/>
  <c r="K98" i="15"/>
  <c r="Y64" i="88"/>
  <c r="K100" i="15"/>
  <c r="L100" i="15" s="1"/>
  <c r="Y66" i="88"/>
  <c r="Y69" i="88"/>
  <c r="Y71" i="88"/>
  <c r="Y73" i="88"/>
  <c r="K112" i="15"/>
  <c r="Y75" i="88"/>
  <c r="K114" i="15"/>
  <c r="Y77" i="88"/>
  <c r="K116" i="15"/>
  <c r="Y79" i="88"/>
  <c r="K118" i="15"/>
  <c r="Y81" i="88"/>
  <c r="K120" i="15"/>
  <c r="Y84" i="88"/>
  <c r="Y85" i="88"/>
  <c r="K124" i="15"/>
  <c r="Y87" i="88"/>
  <c r="K126" i="15"/>
  <c r="L126" i="15" s="1"/>
  <c r="Y89" i="88"/>
  <c r="K128" i="15"/>
  <c r="Y91" i="88"/>
  <c r="K130" i="15"/>
  <c r="Y93" i="88"/>
  <c r="K132" i="15"/>
  <c r="Y95" i="88"/>
  <c r="K134" i="15"/>
  <c r="I76" i="86"/>
  <c r="O81" i="75"/>
  <c r="O33" i="82"/>
  <c r="O12" i="83"/>
  <c r="H52" i="85"/>
  <c r="Y47" i="88" s="1"/>
  <c r="J52" i="85"/>
  <c r="AA47" i="88" s="1"/>
  <c r="N42" i="85"/>
  <c r="H76" i="85"/>
  <c r="J76" i="86"/>
  <c r="H79" i="86"/>
  <c r="AH71" i="88" s="1"/>
  <c r="AH68" i="88" s="1"/>
  <c r="Q128" i="86"/>
  <c r="R42" i="86"/>
  <c r="V128" i="86"/>
  <c r="H42" i="87"/>
  <c r="H51" i="87"/>
  <c r="J51" i="87"/>
  <c r="J60" i="87"/>
  <c r="H124" i="87"/>
  <c r="T124" i="87"/>
  <c r="R64" i="88"/>
  <c r="Q14" i="88"/>
  <c r="I111" i="15"/>
  <c r="I96" i="15"/>
  <c r="Q60" i="88"/>
  <c r="AM60" i="88" s="1"/>
  <c r="O78" i="68"/>
  <c r="O78" i="78" s="1"/>
  <c r="P78" i="68"/>
  <c r="P78" i="78" s="1"/>
  <c r="J102" i="15"/>
  <c r="J48" i="15"/>
  <c r="J46" i="15" s="1"/>
  <c r="P58" i="88"/>
  <c r="O43" i="68"/>
  <c r="O43" i="78" s="1"/>
  <c r="O133" i="78" s="1"/>
  <c r="L83" i="68"/>
  <c r="I92" i="68"/>
  <c r="I91" i="78" s="1"/>
  <c r="H89" i="68"/>
  <c r="H88" i="78" s="1"/>
  <c r="P43" i="68"/>
  <c r="R58" i="88"/>
  <c r="R55" i="88"/>
  <c r="R53" i="88"/>
  <c r="R51" i="88"/>
  <c r="I44" i="15"/>
  <c r="J122" i="15"/>
  <c r="M43" i="68"/>
  <c r="J53" i="68"/>
  <c r="J53" i="78" s="1"/>
  <c r="I62" i="68"/>
  <c r="I62" i="78" s="1"/>
  <c r="Q56" i="88" s="1"/>
  <c r="K62" i="68"/>
  <c r="I94" i="68"/>
  <c r="I93" i="78" s="1"/>
  <c r="J95" i="68"/>
  <c r="J94" i="78" s="1"/>
  <c r="R83" i="88" s="1"/>
  <c r="N78" i="68"/>
  <c r="N78" i="78" s="1"/>
  <c r="P56" i="78"/>
  <c r="K94" i="78"/>
  <c r="H81" i="68"/>
  <c r="H81" i="78" s="1"/>
  <c r="K111" i="15" s="1"/>
  <c r="K78" i="68"/>
  <c r="H78" i="68" s="1"/>
  <c r="H78" i="78" s="1"/>
  <c r="K108" i="15" s="1"/>
  <c r="L108" i="15" s="1"/>
  <c r="I83" i="88"/>
  <c r="O44" i="75"/>
  <c r="I44" i="75" s="1"/>
  <c r="H38" i="88" s="1"/>
  <c r="AM38" i="88" s="1"/>
  <c r="N77" i="75"/>
  <c r="I85" i="75"/>
  <c r="H76" i="88" s="1"/>
  <c r="U77" i="75"/>
  <c r="J85" i="75"/>
  <c r="I76" i="88" s="1"/>
  <c r="J75" i="15"/>
  <c r="R40" i="88"/>
  <c r="K63" i="78"/>
  <c r="H15" i="68"/>
  <c r="H15" i="78" s="1"/>
  <c r="H83" i="68"/>
  <c r="I134" i="15"/>
  <c r="P53" i="88"/>
  <c r="H134" i="15"/>
  <c r="J133" i="15"/>
  <c r="Q89" i="88"/>
  <c r="AM89" i="88" s="1"/>
  <c r="Q40" i="88"/>
  <c r="H43" i="15"/>
  <c r="Q62" i="88"/>
  <c r="AM62" i="88" s="1"/>
  <c r="Q55" i="88"/>
  <c r="AM55" i="88" s="1"/>
  <c r="Q51" i="88"/>
  <c r="J127" i="15"/>
  <c r="U83" i="78"/>
  <c r="J129" i="15"/>
  <c r="R124" i="87"/>
  <c r="M41" i="87"/>
  <c r="M124" i="87" s="1"/>
  <c r="H76" i="87"/>
  <c r="I52" i="86"/>
  <c r="AI47" i="88" s="1"/>
  <c r="J61" i="86"/>
  <c r="AJ56" i="88" s="1"/>
  <c r="I61" i="86"/>
  <c r="AI56" i="88" s="1"/>
  <c r="I80" i="86"/>
  <c r="AI72" i="88" s="1"/>
  <c r="AI68" i="88" s="1"/>
  <c r="J80" i="86"/>
  <c r="AJ72" i="88" s="1"/>
  <c r="H52" i="86"/>
  <c r="AA67" i="88"/>
  <c r="J103" i="15"/>
  <c r="Z67" i="88"/>
  <c r="I103" i="15"/>
  <c r="H15" i="85"/>
  <c r="I137" i="15"/>
  <c r="H98" i="15"/>
  <c r="AL42" i="88"/>
  <c r="P88" i="88"/>
  <c r="H129" i="15"/>
  <c r="Q42" i="88"/>
  <c r="I77" i="15"/>
  <c r="H96" i="15"/>
  <c r="P60" i="88"/>
  <c r="H101" i="15"/>
  <c r="H130" i="15"/>
  <c r="J110" i="15"/>
  <c r="Q75" i="88"/>
  <c r="I115" i="15"/>
  <c r="R78" i="88"/>
  <c r="J118" i="15"/>
  <c r="J96" i="15"/>
  <c r="R60" i="88"/>
  <c r="I114" i="15"/>
  <c r="Q74" i="88"/>
  <c r="P10" i="88"/>
  <c r="H44" i="15"/>
  <c r="P15" i="88"/>
  <c r="H52" i="15"/>
  <c r="R15" i="88"/>
  <c r="J52" i="15"/>
  <c r="I88" i="15"/>
  <c r="Q52" i="88"/>
  <c r="I90" i="15"/>
  <c r="Q54" i="88"/>
  <c r="I93" i="15"/>
  <c r="Q57" i="88"/>
  <c r="I95" i="15"/>
  <c r="Q59" i="88"/>
  <c r="AM59" i="88" s="1"/>
  <c r="R87" i="88"/>
  <c r="J128" i="15"/>
  <c r="AM58" i="88"/>
  <c r="Q133" i="78"/>
  <c r="AM52" i="88"/>
  <c r="AL53" i="88"/>
  <c r="AL52" i="88"/>
  <c r="I76" i="85"/>
  <c r="J76" i="85"/>
  <c r="AL75" i="88"/>
  <c r="AM74" i="88"/>
  <c r="N20" i="85"/>
  <c r="H20" i="85" s="1"/>
  <c r="AM57" i="88"/>
  <c r="Y46" i="88"/>
  <c r="J44" i="75"/>
  <c r="I38" i="88" s="1"/>
  <c r="H62" i="75"/>
  <c r="G56" i="88" s="1"/>
  <c r="H93" i="75"/>
  <c r="G84" i="88" s="1"/>
  <c r="V77" i="75"/>
  <c r="J15" i="75"/>
  <c r="I11" i="88" s="1"/>
  <c r="I15" i="75"/>
  <c r="H11" i="88" s="1"/>
  <c r="AM96" i="88"/>
  <c r="S77" i="75"/>
  <c r="I62" i="75"/>
  <c r="H56" i="88" s="1"/>
  <c r="O77" i="75"/>
  <c r="I77" i="75" s="1"/>
  <c r="G72" i="88"/>
  <c r="G68" i="88" s="1"/>
  <c r="AM95" i="88"/>
  <c r="I43" i="15"/>
  <c r="J43" i="15"/>
  <c r="L77" i="75"/>
  <c r="I88" i="75"/>
  <c r="H79" i="88" s="1"/>
  <c r="P77" i="75"/>
  <c r="C13" i="83"/>
  <c r="M16" i="81"/>
  <c r="M14" i="81" s="1"/>
  <c r="M13" i="83" s="1"/>
  <c r="M15" i="81"/>
  <c r="M13" i="81" s="1"/>
  <c r="M12" i="83" s="1"/>
  <c r="R18" i="81"/>
  <c r="O14" i="83"/>
  <c r="M15" i="83"/>
  <c r="O33" i="81"/>
  <c r="N15" i="83"/>
  <c r="N33" i="81"/>
  <c r="C33" i="81"/>
  <c r="C32" i="83" s="1"/>
  <c r="C12" i="83"/>
  <c r="H75" i="15"/>
  <c r="L75" i="15" s="1"/>
  <c r="P40" i="88"/>
  <c r="AL40" i="88" s="1"/>
  <c r="N128" i="85"/>
  <c r="H42" i="85"/>
  <c r="J84" i="15"/>
  <c r="Q43" i="75"/>
  <c r="Q130" i="75" s="1"/>
  <c r="L43" i="75"/>
  <c r="L130" i="75" s="1"/>
  <c r="AL69" i="88"/>
  <c r="AL62" i="88"/>
  <c r="AL58" i="88"/>
  <c r="AL65" i="88"/>
  <c r="K43" i="75"/>
  <c r="K130" i="75" s="1"/>
  <c r="I51" i="15"/>
  <c r="J51" i="15"/>
  <c r="N42" i="86"/>
  <c r="N128" i="86" s="1"/>
  <c r="H76" i="86"/>
  <c r="M33" i="80"/>
  <c r="D14" i="81"/>
  <c r="D15" i="83"/>
  <c r="G11" i="88"/>
  <c r="J13" i="81"/>
  <c r="L128" i="85"/>
  <c r="I42" i="85"/>
  <c r="J42" i="85"/>
  <c r="Q31" i="81"/>
  <c r="Q19" i="80"/>
  <c r="I107" i="15"/>
  <c r="I106" i="15"/>
  <c r="D33" i="80"/>
  <c r="J33" i="80"/>
  <c r="K93" i="78"/>
  <c r="H94" i="68"/>
  <c r="H93" i="78" s="1"/>
  <c r="N55" i="68"/>
  <c r="N56" i="78"/>
  <c r="O56" i="68"/>
  <c r="O58" i="78"/>
  <c r="P43" i="75"/>
  <c r="P130" i="75" s="1"/>
  <c r="G33" i="79"/>
  <c r="G32" i="83" s="1"/>
  <c r="I14" i="83"/>
  <c r="I13" i="79"/>
  <c r="I15" i="83"/>
  <c r="O15" i="83"/>
  <c r="Q19" i="79"/>
  <c r="J21" i="83"/>
  <c r="J16" i="79"/>
  <c r="Q22" i="83"/>
  <c r="R22" i="83" s="1"/>
  <c r="Q26" i="83"/>
  <c r="R26" i="83" s="1"/>
  <c r="Q18" i="80"/>
  <c r="L33" i="80"/>
  <c r="L32" i="83" s="1"/>
  <c r="I33" i="81"/>
  <c r="Q27" i="83"/>
  <c r="R27" i="83" s="1"/>
  <c r="Q25" i="83"/>
  <c r="R25" i="83" s="1"/>
  <c r="Q23" i="83"/>
  <c r="R23" i="83" s="1"/>
  <c r="I81" i="75"/>
  <c r="H72" i="88" s="1"/>
  <c r="H68" i="88" s="1"/>
  <c r="M43" i="78"/>
  <c r="M43" i="75"/>
  <c r="S43" i="75"/>
  <c r="S130" i="75" s="1"/>
  <c r="D16" i="83"/>
  <c r="D15" i="79"/>
  <c r="O33" i="80"/>
  <c r="E33" i="80"/>
  <c r="AL44" i="88"/>
  <c r="H115" i="15"/>
  <c r="AL85" i="88"/>
  <c r="N83" i="78"/>
  <c r="N43" i="75"/>
  <c r="U43" i="75"/>
  <c r="E15" i="81"/>
  <c r="E16" i="83"/>
  <c r="N15" i="82"/>
  <c r="H28" i="86"/>
  <c r="H58" i="15" s="1"/>
  <c r="AJ24" i="88"/>
  <c r="L26" i="86"/>
  <c r="L42" i="86"/>
  <c r="M26" i="86"/>
  <c r="M42" i="86"/>
  <c r="O26" i="86"/>
  <c r="O15" i="86" s="1"/>
  <c r="O42" i="86"/>
  <c r="P128" i="86"/>
  <c r="S26" i="86"/>
  <c r="S15" i="86" s="1"/>
  <c r="S42" i="86"/>
  <c r="AM51" i="88"/>
  <c r="H61" i="86"/>
  <c r="AH56" i="88" s="1"/>
  <c r="AJ68" i="88"/>
  <c r="AL89" i="88"/>
  <c r="J42" i="87"/>
  <c r="S41" i="87"/>
  <c r="S124" i="87" s="1"/>
  <c r="R128" i="86"/>
  <c r="U128" i="86"/>
  <c r="H76" i="15"/>
  <c r="L76" i="15" s="1"/>
  <c r="J76" i="15"/>
  <c r="H77" i="15"/>
  <c r="L77" i="15" s="1"/>
  <c r="AM42" i="88"/>
  <c r="J77" i="15"/>
  <c r="AA68" i="88"/>
  <c r="K26" i="86"/>
  <c r="K42" i="86"/>
  <c r="H42" i="86" s="1"/>
  <c r="AH37" i="88" s="1"/>
  <c r="I42" i="87"/>
  <c r="L41" i="87"/>
  <c r="I41" i="87" s="1"/>
  <c r="L124" i="87"/>
  <c r="I15" i="87"/>
  <c r="V124" i="87"/>
  <c r="H60" i="87"/>
  <c r="I22" i="68"/>
  <c r="I22" i="78" s="1"/>
  <c r="Q18" i="88" s="1"/>
  <c r="Q30" i="83"/>
  <c r="R30" i="83" s="1"/>
  <c r="M133" i="78"/>
  <c r="Q67" i="88"/>
  <c r="AM67" i="88" s="1"/>
  <c r="P55" i="88"/>
  <c r="AL55" i="88" s="1"/>
  <c r="I129" i="15"/>
  <c r="R62" i="88"/>
  <c r="H132" i="15"/>
  <c r="R41" i="88"/>
  <c r="J132" i="15"/>
  <c r="I100" i="15"/>
  <c r="Q19" i="83"/>
  <c r="R19" i="83" s="1"/>
  <c r="H124" i="15"/>
  <c r="Q17" i="83"/>
  <c r="R17" i="83" s="1"/>
  <c r="J79" i="15"/>
  <c r="H79" i="15"/>
  <c r="L79" i="15" s="1"/>
  <c r="AL60" i="88"/>
  <c r="AM40" i="88"/>
  <c r="Q31" i="83"/>
  <c r="R31" i="83" s="1"/>
  <c r="R29" i="83"/>
  <c r="Q21" i="83"/>
  <c r="R21" i="83" s="1"/>
  <c r="Q20" i="83"/>
  <c r="R20" i="83" s="1"/>
  <c r="Q16" i="83"/>
  <c r="R16" i="83" s="1"/>
  <c r="J101" i="15"/>
  <c r="J135" i="15"/>
  <c r="J119" i="15"/>
  <c r="AM53" i="88"/>
  <c r="J124" i="15"/>
  <c r="H123" i="15"/>
  <c r="AL93" i="88"/>
  <c r="AL73" i="88"/>
  <c r="AM93" i="88"/>
  <c r="AM73" i="88"/>
  <c r="AM71" i="88"/>
  <c r="AL57" i="88"/>
  <c r="AM70" i="88"/>
  <c r="AL51" i="88"/>
  <c r="AL9" i="88"/>
  <c r="AM9" i="88"/>
  <c r="AM77" i="88"/>
  <c r="AM75" i="88"/>
  <c r="AM85" i="88"/>
  <c r="K83" i="78"/>
  <c r="O83" i="78"/>
  <c r="M83" i="78"/>
  <c r="Q83" i="78"/>
  <c r="S83" i="78"/>
  <c r="V83" i="78"/>
  <c r="R83" i="78"/>
  <c r="AM54" i="88"/>
  <c r="AL91" i="88"/>
  <c r="AM88" i="88"/>
  <c r="AL64" i="88"/>
  <c r="AL54" i="88"/>
  <c r="AM66" i="88"/>
  <c r="AM64" i="88"/>
  <c r="AL83" i="88"/>
  <c r="AM76" i="88"/>
  <c r="L83" i="78"/>
  <c r="R90" i="88"/>
  <c r="P67" i="88"/>
  <c r="AL67" i="88" s="1"/>
  <c r="J111" i="15"/>
  <c r="H110" i="15"/>
  <c r="H137" i="15"/>
  <c r="L137" i="15" s="1"/>
  <c r="H93" i="15"/>
  <c r="H135" i="15"/>
  <c r="H49" i="15"/>
  <c r="I116" i="15"/>
  <c r="J44" i="15"/>
  <c r="I126" i="15"/>
  <c r="J126" i="15"/>
  <c r="I117" i="15"/>
  <c r="P83" i="78"/>
  <c r="I119" i="15"/>
  <c r="Q79" i="88"/>
  <c r="AM79" i="88" s="1"/>
  <c r="H119" i="15"/>
  <c r="P79" i="88"/>
  <c r="AL79" i="88" s="1"/>
  <c r="P76" i="88"/>
  <c r="AL76" i="88" s="1"/>
  <c r="H116" i="15"/>
  <c r="P78" i="88"/>
  <c r="AL78" i="88" s="1"/>
  <c r="H118" i="15"/>
  <c r="P95" i="88"/>
  <c r="AL95" i="88" s="1"/>
  <c r="H136" i="15"/>
  <c r="R95" i="88"/>
  <c r="J136" i="15"/>
  <c r="H111" i="15"/>
  <c r="P71" i="88"/>
  <c r="AL71" i="88" s="1"/>
  <c r="AK71" i="88" s="1"/>
  <c r="R93" i="88"/>
  <c r="J134" i="15"/>
  <c r="Q91" i="88"/>
  <c r="AM91" i="88" s="1"/>
  <c r="I132" i="15"/>
  <c r="Q90" i="88"/>
  <c r="AM90" i="88" s="1"/>
  <c r="I131" i="15"/>
  <c r="P63" i="88"/>
  <c r="AL63" i="88" s="1"/>
  <c r="H99" i="15"/>
  <c r="H95" i="15"/>
  <c r="P59" i="88"/>
  <c r="AL59" i="88" s="1"/>
  <c r="I101" i="15"/>
  <c r="Q65" i="88"/>
  <c r="AM65" i="88" s="1"/>
  <c r="P50" i="88"/>
  <c r="AL50" i="88" s="1"/>
  <c r="AK49" i="88" s="1"/>
  <c r="H84" i="15"/>
  <c r="Q39" i="88"/>
  <c r="AM39" i="88" s="1"/>
  <c r="I74" i="15"/>
  <c r="P43" i="88"/>
  <c r="AL43" i="88" s="1"/>
  <c r="H78" i="15"/>
  <c r="R43" i="88"/>
  <c r="J78" i="15"/>
  <c r="Q45" i="88"/>
  <c r="AM45" i="88" s="1"/>
  <c r="I80" i="15"/>
  <c r="P46" i="88"/>
  <c r="R46" i="88"/>
  <c r="J81" i="15"/>
  <c r="P48" i="88"/>
  <c r="AL48" i="88" s="1"/>
  <c r="H83" i="15"/>
  <c r="R48" i="88"/>
  <c r="J83" i="15"/>
  <c r="K43" i="68"/>
  <c r="H62" i="68"/>
  <c r="H62" i="78" s="1"/>
  <c r="P56" i="88" s="1"/>
  <c r="AL56" i="88" s="1"/>
  <c r="K62" i="78"/>
  <c r="Q61" i="88"/>
  <c r="AM61" i="88" s="1"/>
  <c r="I97" i="15"/>
  <c r="I92" i="15" s="1"/>
  <c r="Q78" i="88"/>
  <c r="AM78" i="88" s="1"/>
  <c r="I118" i="15"/>
  <c r="I83" i="78"/>
  <c r="Q72" i="88" s="1"/>
  <c r="R76" i="88"/>
  <c r="J116" i="15"/>
  <c r="J83" i="78"/>
  <c r="R72" i="88" s="1"/>
  <c r="J114" i="15"/>
  <c r="R74" i="88"/>
  <c r="P82" i="88"/>
  <c r="H122" i="15"/>
  <c r="Q83" i="88"/>
  <c r="AM83" i="88" s="1"/>
  <c r="I123" i="15"/>
  <c r="H128" i="15"/>
  <c r="P87" i="88"/>
  <c r="Q86" i="88"/>
  <c r="AM86" i="88" s="1"/>
  <c r="I127" i="15"/>
  <c r="H55" i="68"/>
  <c r="H55" i="78" s="1"/>
  <c r="P49" i="88" s="1"/>
  <c r="AL49" i="88" s="1"/>
  <c r="N55" i="78"/>
  <c r="O55" i="68"/>
  <c r="I56" i="68"/>
  <c r="I56" i="78" s="1"/>
  <c r="O56" i="78"/>
  <c r="Q81" i="88"/>
  <c r="AM81" i="88" s="1"/>
  <c r="I121" i="15"/>
  <c r="Q80" i="88"/>
  <c r="AM80" i="88" s="1"/>
  <c r="I120" i="15"/>
  <c r="H120" i="15"/>
  <c r="P80" i="88"/>
  <c r="AL80" i="88" s="1"/>
  <c r="P77" i="88"/>
  <c r="AL77" i="88" s="1"/>
  <c r="H117" i="15"/>
  <c r="H133" i="15"/>
  <c r="P92" i="88"/>
  <c r="P90" i="88"/>
  <c r="H131" i="15"/>
  <c r="Q94" i="88"/>
  <c r="AM94" i="88" s="1"/>
  <c r="I135" i="15"/>
  <c r="I133" i="15"/>
  <c r="Q92" i="88"/>
  <c r="AM92" i="88" s="1"/>
  <c r="R89" i="88"/>
  <c r="J130" i="15"/>
  <c r="Q69" i="88"/>
  <c r="AM69" i="88" s="1"/>
  <c r="I110" i="15"/>
  <c r="J107" i="15"/>
  <c r="R67" i="88"/>
  <c r="J106" i="15"/>
  <c r="R63" i="88"/>
  <c r="J99" i="15"/>
  <c r="Q63" i="88"/>
  <c r="AM63" i="88" s="1"/>
  <c r="I99" i="15"/>
  <c r="Q47" i="88"/>
  <c r="AM47" i="88" s="1"/>
  <c r="I82" i="15"/>
  <c r="J70" i="15"/>
  <c r="J69" i="15" s="1"/>
  <c r="R35" i="88"/>
  <c r="P39" i="88"/>
  <c r="H74" i="15"/>
  <c r="R39" i="88"/>
  <c r="J74" i="15"/>
  <c r="Q43" i="88"/>
  <c r="AM43" i="88" s="1"/>
  <c r="I78" i="15"/>
  <c r="H80" i="15"/>
  <c r="L80" i="15" s="1"/>
  <c r="P45" i="88"/>
  <c r="AL45" i="88" s="1"/>
  <c r="J80" i="15"/>
  <c r="R45" i="88"/>
  <c r="I81" i="15"/>
  <c r="Q46" i="88"/>
  <c r="AM46" i="88" s="1"/>
  <c r="Q48" i="88"/>
  <c r="AM48" i="88" s="1"/>
  <c r="I83" i="15"/>
  <c r="P61" i="88"/>
  <c r="AL61" i="88" s="1"/>
  <c r="H97" i="15"/>
  <c r="R61" i="88"/>
  <c r="J97" i="15"/>
  <c r="J92" i="15" s="1"/>
  <c r="H114" i="15"/>
  <c r="H83" i="78"/>
  <c r="P72" i="88" s="1"/>
  <c r="P68" i="88" s="1"/>
  <c r="P74" i="88"/>
  <c r="AL74" i="88" s="1"/>
  <c r="R77" i="88"/>
  <c r="J117" i="15"/>
  <c r="R75" i="88"/>
  <c r="J115" i="15"/>
  <c r="R80" i="88"/>
  <c r="J120" i="15"/>
  <c r="Q84" i="88"/>
  <c r="AM84" i="88" s="1"/>
  <c r="I124" i="15"/>
  <c r="Q82" i="88"/>
  <c r="AM82" i="88" s="1"/>
  <c r="I122" i="15"/>
  <c r="P86" i="88"/>
  <c r="AL86" i="88" s="1"/>
  <c r="H127" i="15"/>
  <c r="Q87" i="88"/>
  <c r="AM87" i="88" s="1"/>
  <c r="I128" i="15"/>
  <c r="P55" i="78"/>
  <c r="J55" i="68"/>
  <c r="J55" i="78" s="1"/>
  <c r="R49" i="88" s="1"/>
  <c r="Q41" i="88"/>
  <c r="AM41" i="88" s="1"/>
  <c r="I76" i="15"/>
  <c r="P81" i="88"/>
  <c r="AL81" i="88" s="1"/>
  <c r="H121" i="15"/>
  <c r="R81" i="88"/>
  <c r="J121" i="15"/>
  <c r="H75" i="68"/>
  <c r="H75" i="78" s="1"/>
  <c r="P66" i="88" s="1"/>
  <c r="AL66" i="88" s="1"/>
  <c r="K75" i="78"/>
  <c r="N15" i="78"/>
  <c r="N133" i="78" s="1"/>
  <c r="P11" i="88"/>
  <c r="L43" i="68"/>
  <c r="I136" i="15"/>
  <c r="AL82" i="88"/>
  <c r="AL70" i="88"/>
  <c r="N134" i="68"/>
  <c r="K78" i="78"/>
  <c r="M78" i="78"/>
  <c r="J78" i="68"/>
  <c r="J78" i="78" s="1"/>
  <c r="K43" i="78"/>
  <c r="K133" i="78" s="1"/>
  <c r="Q68" i="88"/>
  <c r="AL94" i="88"/>
  <c r="AL90" i="88"/>
  <c r="AM56" i="88"/>
  <c r="AL39" i="88"/>
  <c r="J61" i="15"/>
  <c r="J56" i="15" s="1"/>
  <c r="I70" i="15"/>
  <c r="I69" i="15" s="1"/>
  <c r="AL96" i="88"/>
  <c r="AL92" i="88"/>
  <c r="AL88" i="88"/>
  <c r="AL84" i="88"/>
  <c r="Q24" i="88"/>
  <c r="P35" i="88"/>
  <c r="H61" i="15"/>
  <c r="I49" i="15"/>
  <c r="R68" i="88"/>
  <c r="J137" i="15"/>
  <c r="L111" i="15" l="1"/>
  <c r="Y16" i="88"/>
  <c r="K50" i="15"/>
  <c r="L134" i="15"/>
  <c r="L132" i="15"/>
  <c r="L130" i="15"/>
  <c r="L128" i="15"/>
  <c r="L124" i="15"/>
  <c r="K123" i="15"/>
  <c r="L123" i="15" s="1"/>
  <c r="L120" i="15"/>
  <c r="L118" i="15"/>
  <c r="L116" i="15"/>
  <c r="L114" i="15"/>
  <c r="K110" i="15"/>
  <c r="L110" i="15" s="1"/>
  <c r="K105" i="15"/>
  <c r="L105" i="15" s="1"/>
  <c r="L98" i="15"/>
  <c r="L96" i="15"/>
  <c r="L93" i="15"/>
  <c r="L87" i="15"/>
  <c r="K84" i="15"/>
  <c r="L84" i="15" s="1"/>
  <c r="F14" i="81"/>
  <c r="F15" i="83"/>
  <c r="K13" i="83"/>
  <c r="K33" i="79"/>
  <c r="K32" i="83" s="1"/>
  <c r="J14" i="83"/>
  <c r="H56" i="15"/>
  <c r="L135" i="15"/>
  <c r="L133" i="15"/>
  <c r="L131" i="15"/>
  <c r="L129" i="15"/>
  <c r="K127" i="15"/>
  <c r="L127" i="15" s="1"/>
  <c r="L122" i="15"/>
  <c r="L121" i="15"/>
  <c r="L119" i="15"/>
  <c r="L117" i="15"/>
  <c r="L115" i="15"/>
  <c r="K113" i="15"/>
  <c r="L113" i="15" s="1"/>
  <c r="H106" i="15"/>
  <c r="L101" i="15"/>
  <c r="L99" i="15"/>
  <c r="L97" i="15"/>
  <c r="L95" i="15"/>
  <c r="L85" i="15"/>
  <c r="K83" i="15"/>
  <c r="L83" i="15" s="1"/>
  <c r="K78" i="15"/>
  <c r="L78" i="15" s="1"/>
  <c r="K58" i="15"/>
  <c r="L58" i="15" s="1"/>
  <c r="H32" i="83"/>
  <c r="H52" i="75"/>
  <c r="H81" i="15" s="1"/>
  <c r="H73" i="15" s="1"/>
  <c r="AL87" i="88"/>
  <c r="H92" i="15"/>
  <c r="O128" i="86"/>
  <c r="M14" i="83"/>
  <c r="Y11" i="88"/>
  <c r="J123" i="15"/>
  <c r="J112" i="15" s="1"/>
  <c r="J109" i="15" s="1"/>
  <c r="ES7" i="63" s="1"/>
  <c r="ES14" i="63" s="1"/>
  <c r="Y68" i="88"/>
  <c r="K92" i="15"/>
  <c r="L92" i="15" s="1"/>
  <c r="L106" i="15"/>
  <c r="L136" i="15"/>
  <c r="L74" i="15"/>
  <c r="AH47" i="88"/>
  <c r="M134" i="68"/>
  <c r="J43" i="68"/>
  <c r="J43" i="78" s="1"/>
  <c r="L78" i="68"/>
  <c r="I83" i="68"/>
  <c r="O134" i="68"/>
  <c r="R47" i="88"/>
  <c r="J82" i="15"/>
  <c r="P134" i="68"/>
  <c r="P43" i="78"/>
  <c r="P133" i="78" s="1"/>
  <c r="K134" i="68"/>
  <c r="H43" i="68"/>
  <c r="H43" i="78" s="1"/>
  <c r="P37" i="88" s="1"/>
  <c r="P99" i="88" s="1"/>
  <c r="J49" i="15"/>
  <c r="J45" i="15" s="1"/>
  <c r="AK56" i="88"/>
  <c r="I112" i="15"/>
  <c r="I109" i="15" s="1"/>
  <c r="EF7" i="63" s="1"/>
  <c r="EF14" i="63" s="1"/>
  <c r="AM72" i="88"/>
  <c r="V43" i="75"/>
  <c r="V130" i="75" s="1"/>
  <c r="O43" i="75"/>
  <c r="O130" i="75" s="1"/>
  <c r="J81" i="75"/>
  <c r="I72" i="88" s="1"/>
  <c r="I68" i="88" s="1"/>
  <c r="M77" i="75"/>
  <c r="J77" i="75" s="1"/>
  <c r="T77" i="75"/>
  <c r="H77" i="75" s="1"/>
  <c r="K107" i="15" s="1"/>
  <c r="L107" i="15" s="1"/>
  <c r="AL72" i="88"/>
  <c r="M33" i="81"/>
  <c r="M32" i="83" s="1"/>
  <c r="Q16" i="81"/>
  <c r="O32" i="83"/>
  <c r="Q15" i="81"/>
  <c r="H128" i="85"/>
  <c r="Y37" i="88"/>
  <c r="H112" i="15"/>
  <c r="H109" i="15" s="1"/>
  <c r="DS7" i="63" s="1"/>
  <c r="DS14" i="63" s="1"/>
  <c r="AM68" i="88"/>
  <c r="AL68" i="88"/>
  <c r="AK72" i="88"/>
  <c r="I124" i="87"/>
  <c r="K15" i="86"/>
  <c r="H26" i="86"/>
  <c r="S128" i="86"/>
  <c r="J42" i="86"/>
  <c r="AJ37" i="88" s="1"/>
  <c r="I42" i="86"/>
  <c r="AI37" i="88" s="1"/>
  <c r="AH24" i="88"/>
  <c r="N13" i="82"/>
  <c r="N14" i="83"/>
  <c r="E13" i="81"/>
  <c r="E14" i="83"/>
  <c r="N130" i="75"/>
  <c r="I33" i="79"/>
  <c r="I32" i="83" s="1"/>
  <c r="I12" i="83"/>
  <c r="J41" i="87"/>
  <c r="J124" i="87" s="1"/>
  <c r="Q14" i="81"/>
  <c r="D33" i="81"/>
  <c r="D13" i="83"/>
  <c r="M15" i="86"/>
  <c r="J26" i="86"/>
  <c r="AJ22" i="88" s="1"/>
  <c r="L15" i="86"/>
  <c r="I26" i="86"/>
  <c r="AI22" i="88" s="1"/>
  <c r="U130" i="75"/>
  <c r="I43" i="75"/>
  <c r="D13" i="79"/>
  <c r="D14" i="83"/>
  <c r="Q14" i="83" s="1"/>
  <c r="R14" i="83" s="1"/>
  <c r="J43" i="75"/>
  <c r="M130" i="75"/>
  <c r="J15" i="83"/>
  <c r="J14" i="79"/>
  <c r="J128" i="85"/>
  <c r="AA37" i="88"/>
  <c r="AA99" i="88" s="1"/>
  <c r="I128" i="85"/>
  <c r="Z37" i="88"/>
  <c r="Z99" i="88" s="1"/>
  <c r="J33" i="81"/>
  <c r="J12" i="83"/>
  <c r="Q15" i="83"/>
  <c r="R15" i="83" s="1"/>
  <c r="Q13" i="81"/>
  <c r="J73" i="15"/>
  <c r="I73" i="15"/>
  <c r="L43" i="78"/>
  <c r="L133" i="78" s="1"/>
  <c r="L134" i="68"/>
  <c r="I43" i="68"/>
  <c r="I43" i="78" s="1"/>
  <c r="Q50" i="88"/>
  <c r="AM50" i="88" s="1"/>
  <c r="I85" i="15"/>
  <c r="I84" i="15" s="1"/>
  <c r="I45" i="15"/>
  <c r="I55" i="68"/>
  <c r="I55" i="78" s="1"/>
  <c r="Q49" i="88" s="1"/>
  <c r="AM49" i="88" s="1"/>
  <c r="O55" i="78"/>
  <c r="H133" i="78" l="1"/>
  <c r="Y99" i="88"/>
  <c r="AH22" i="88"/>
  <c r="K56" i="15"/>
  <c r="H72" i="15"/>
  <c r="L109" i="15"/>
  <c r="F33" i="81"/>
  <c r="F32" i="83" s="1"/>
  <c r="F13" i="83"/>
  <c r="L112" i="15"/>
  <c r="J133" i="78"/>
  <c r="R37" i="88"/>
  <c r="R99" i="88" s="1"/>
  <c r="L78" i="78"/>
  <c r="I78" i="68"/>
  <c r="I78" i="78" s="1"/>
  <c r="H45" i="15"/>
  <c r="I72" i="15"/>
  <c r="I154" i="15" s="1"/>
  <c r="J72" i="15"/>
  <c r="J154" i="15" s="1"/>
  <c r="J13" i="83"/>
  <c r="J33" i="79"/>
  <c r="J32" i="83" s="1"/>
  <c r="L128" i="86"/>
  <c r="I15" i="86"/>
  <c r="J15" i="86"/>
  <c r="M128" i="86"/>
  <c r="Q13" i="83"/>
  <c r="R13" i="83" s="1"/>
  <c r="K128" i="86"/>
  <c r="H15" i="86"/>
  <c r="K45" i="15" s="1"/>
  <c r="I37" i="88"/>
  <c r="I99" i="88" s="1"/>
  <c r="J130" i="75"/>
  <c r="D33" i="79"/>
  <c r="D32" i="83" s="1"/>
  <c r="Q32" i="83" s="1"/>
  <c r="R32" i="83" s="1"/>
  <c r="Q12" i="83"/>
  <c r="R12" i="83" s="1"/>
  <c r="H37" i="88"/>
  <c r="H99" i="88" s="1"/>
  <c r="I130" i="75"/>
  <c r="Q33" i="81"/>
  <c r="E33" i="81"/>
  <c r="E32" i="83" s="1"/>
  <c r="E12" i="83"/>
  <c r="N33" i="82"/>
  <c r="N32" i="83" s="1"/>
  <c r="N12" i="83"/>
  <c r="Q37" i="88"/>
  <c r="I133" i="78"/>
  <c r="AI11" i="88" l="1"/>
  <c r="I128" i="86"/>
  <c r="AH11" i="88"/>
  <c r="H128" i="86"/>
  <c r="AJ11" i="88"/>
  <c r="AJ99" i="88" s="1"/>
  <c r="J128" i="86"/>
  <c r="Q99" i="88"/>
  <c r="AM37" i="88"/>
  <c r="AH99" i="88" l="1"/>
  <c r="AL11" i="88"/>
  <c r="AI99" i="88"/>
  <c r="AM11" i="88"/>
  <c r="AM99" i="88" s="1"/>
  <c r="K81" i="15"/>
  <c r="K73" i="15"/>
  <c r="H43" i="75" l="1"/>
  <c r="H130" i="75" s="1"/>
  <c r="H82" i="15"/>
  <c r="G47" i="88"/>
  <c r="AL47" i="88" s="1"/>
  <c r="K82" i="15"/>
  <c r="L82" i="15" s="1"/>
  <c r="T130" i="75"/>
  <c r="G46" i="88"/>
  <c r="AL46" i="88" s="1"/>
  <c r="G38" i="88"/>
  <c r="AL38" i="88" s="1"/>
  <c r="H154" i="15"/>
  <c r="K72" i="15" l="1"/>
  <c r="L72" i="15" s="1"/>
  <c r="G37" i="88"/>
  <c r="G99" i="88"/>
  <c r="AL37" i="88"/>
  <c r="AL99" i="88" s="1"/>
  <c r="L81" i="15"/>
  <c r="L73" i="15"/>
  <c r="AK37" i="88"/>
  <c r="AK38" i="88"/>
  <c r="AK102" i="88" s="1"/>
</calcChain>
</file>

<file path=xl/sharedStrings.xml><?xml version="1.0" encoding="utf-8"?>
<sst xmlns="http://schemas.openxmlformats.org/spreadsheetml/2006/main" count="2378" uniqueCount="451">
  <si>
    <t>ИНН</t>
  </si>
  <si>
    <t>КПП</t>
  </si>
  <si>
    <t>Наименование показателя</t>
  </si>
  <si>
    <t>УТВЕРЖДАЮ</t>
  </si>
  <si>
    <t>Наименование учреждения</t>
  </si>
  <si>
    <t>руб.(с точностью до второго десятичного знака)</t>
  </si>
  <si>
    <t>(подпись)</t>
  </si>
  <si>
    <t>М.П.</t>
  </si>
  <si>
    <t>Единица измерения:</t>
  </si>
  <si>
    <t>Х</t>
  </si>
  <si>
    <t>_____________</t>
  </si>
  <si>
    <t>(расшифровка подписи)</t>
  </si>
  <si>
    <t>ПЛАН</t>
  </si>
  <si>
    <t>КОД</t>
  </si>
  <si>
    <t>Наименование органа, осуществляющего функции и полномочия учредителя</t>
  </si>
  <si>
    <t>Департамент здравоохранения Вологодской области</t>
  </si>
  <si>
    <t>2.1.</t>
  </si>
  <si>
    <t>1</t>
  </si>
  <si>
    <t>2</t>
  </si>
  <si>
    <t>3</t>
  </si>
  <si>
    <t>4</t>
  </si>
  <si>
    <t>5</t>
  </si>
  <si>
    <t>6</t>
  </si>
  <si>
    <t>7</t>
  </si>
  <si>
    <t>в том числе:</t>
  </si>
  <si>
    <t>(полное наименование учреждения)</t>
  </si>
  <si>
    <t>субсидии на осуществление капитальных вложений</t>
  </si>
  <si>
    <t>Код строки</t>
  </si>
  <si>
    <t>0001</t>
  </si>
  <si>
    <t xml:space="preserve">Руководитель </t>
  </si>
  <si>
    <t xml:space="preserve">                                            </t>
  </si>
  <si>
    <t xml:space="preserve"> (подпись)   </t>
  </si>
  <si>
    <t xml:space="preserve">Ответственный исполнитель </t>
  </si>
  <si>
    <t>(должность)   (подпись)</t>
  </si>
  <si>
    <t>(расшифровка подписи) (телефон)</t>
  </si>
  <si>
    <t>(наименование должности лица, утверждающего План ФХД; наименование органа)</t>
  </si>
  <si>
    <t>подведомственного департаменту здравоохранения Вологодской области</t>
  </si>
  <si>
    <t>из них:</t>
  </si>
  <si>
    <t>КФСР 09.02 Амбулаторная медицинская помощь</t>
  </si>
  <si>
    <t>текущий финансовый год</t>
  </si>
  <si>
    <t xml:space="preserve">финансово-хозяйственной деятельности бюджетных </t>
  </si>
  <si>
    <t>учрждений, подведомственных</t>
  </si>
  <si>
    <t>департаменту здравоохранения области</t>
  </si>
  <si>
    <t xml:space="preserve">к Порядку составления и утверждения Плана </t>
  </si>
  <si>
    <t>Таблица 5</t>
  </si>
  <si>
    <t>(наименование учреждения)</t>
  </si>
  <si>
    <t>Наименование</t>
  </si>
  <si>
    <t xml:space="preserve">Численность работников (чел.) </t>
  </si>
  <si>
    <t>За счет областного бюджета ( тыс.руб)</t>
  </si>
  <si>
    <t xml:space="preserve">За счет средств от приносящей доход деятельности ( тыс.руб)  </t>
  </si>
  <si>
    <t>За счет средств ОМС ( тыс.руб)</t>
  </si>
  <si>
    <t>Фонд заработной платы работников ВСЕГО</t>
  </si>
  <si>
    <t>Оплата по окладам</t>
  </si>
  <si>
    <t>Выплаты компенсационного характера*</t>
  </si>
  <si>
    <t xml:space="preserve">Обязательные выплаты стимулирующего характера, выплачиваемые ежемесячно** </t>
  </si>
  <si>
    <t>Стимулирующая выплата за стаж работы</t>
  </si>
  <si>
    <t xml:space="preserve">Иные стимулирующие выплаты*** </t>
  </si>
  <si>
    <t xml:space="preserve">стимулирующие и компенсационные  выплаты </t>
  </si>
  <si>
    <t>А</t>
  </si>
  <si>
    <t>врачи и специалисты с высшим образованием, предоставляющие медуслуги</t>
  </si>
  <si>
    <t>социальные работники</t>
  </si>
  <si>
    <t>х</t>
  </si>
  <si>
    <t>*</t>
  </si>
  <si>
    <t>за вредные условия труда, за работу в сельской местности, доплата за ночные часы, за работу в праздничные дни, районный коэффициент, иные выплаты( доплата за совмещение профессий, исполнение обязанностей, расширение зоны обслуживания и т.д.)</t>
  </si>
  <si>
    <t>**</t>
  </si>
  <si>
    <t>интенсивность,  за наличие квалификационной категории, почетного звания, ученой степени</t>
  </si>
  <si>
    <t>***</t>
  </si>
  <si>
    <t xml:space="preserve"> премиальные, за качество работ</t>
  </si>
  <si>
    <t>».</t>
  </si>
  <si>
    <t>СВОД по всем разделам, подразделам (КФСР)</t>
  </si>
  <si>
    <t>2.1.1</t>
  </si>
  <si>
    <t>2.1.1.1</t>
  </si>
  <si>
    <t>2.1.1.2</t>
  </si>
  <si>
    <t>2.1.1.3</t>
  </si>
  <si>
    <t>2.1.1.4</t>
  </si>
  <si>
    <t>2.1.1.5</t>
  </si>
  <si>
    <t>2.1.1.6</t>
  </si>
  <si>
    <t>2.1.2</t>
  </si>
  <si>
    <t>2.1.3</t>
  </si>
  <si>
    <t>2.1.4</t>
  </si>
  <si>
    <t>средний медицинский персонал</t>
  </si>
  <si>
    <t>младший медицинский персонал</t>
  </si>
  <si>
    <t>Руководители учреждений</t>
  </si>
  <si>
    <t>Заместители руководителей учреждений, главный бухгалтер, главная медсестра</t>
  </si>
  <si>
    <t>Прочие категории  работников</t>
  </si>
  <si>
    <t>Штатная численность (целые ед.)</t>
  </si>
  <si>
    <r>
      <t xml:space="preserve">Среднесписочный состав </t>
    </r>
    <r>
      <rPr>
        <u/>
        <sz val="12"/>
        <rFont val="Times New Roman"/>
        <family val="1"/>
        <charset val="204"/>
      </rPr>
      <t>штатных работников с учетом внешних совместителей</t>
    </r>
    <r>
      <rPr>
        <sz val="12"/>
        <rFont val="Times New Roman"/>
        <family val="1"/>
        <charset val="204"/>
      </rPr>
      <t>, занимающих штатные должности  ВСЕГО</t>
    </r>
  </si>
  <si>
    <t>Работники, относящиеся к основному персоналу, всего (п.п 2.1.1.1 - 2.1.1.6)</t>
  </si>
  <si>
    <t>в том числе работники списочного состава (без внешних совместителей)</t>
  </si>
  <si>
    <t>в том числе работники списочного состава (без внешних совместителей), из них:</t>
  </si>
  <si>
    <t>Работники, включенные в п. 2, зарплата которых  обеспечивается за счет средств от приносящей доход деятельности</t>
  </si>
  <si>
    <t>Работники, включенные  в п. 2, получающие выплаты за счет средств   государственных внебюджетных фондов (ОМС)  (кроме оплаты временной  нетрудоспособности и   др. соц. выплат)</t>
  </si>
  <si>
    <t>Внешние совместители, включенные в п. 2</t>
  </si>
  <si>
    <t>преподаватели среднего профессионального образования</t>
  </si>
  <si>
    <t>педагогические работники  домов ребенка</t>
  </si>
  <si>
    <t>Приложение 1</t>
  </si>
  <si>
    <t>Руководитель финансово-экономической службы</t>
  </si>
  <si>
    <t>Глава по БК</t>
  </si>
  <si>
    <t>ОКЕИ</t>
  </si>
  <si>
    <t>Раздел 1 Поступления и выплаты</t>
  </si>
  <si>
    <t>Сумма</t>
  </si>
  <si>
    <t>первый год планового периода</t>
  </si>
  <si>
    <t>второй год планового периода</t>
  </si>
  <si>
    <t>Аналитический код &lt;4&gt; (КОСГУ)</t>
  </si>
  <si>
    <t>Код по бюджетной классификации РФ &lt;3&gt;</t>
  </si>
  <si>
    <t>Доходы, всего:</t>
  </si>
  <si>
    <t>в том числе:
доходы от собственности, всего</t>
  </si>
  <si>
    <t>доходы от оказания услуг, работ, компенсации затрат учреждений, всего</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</si>
  <si>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</si>
  <si>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</si>
  <si>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</si>
  <si>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</si>
  <si>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доходы от операций с активами, всего</t>
  </si>
  <si>
    <r>
      <t xml:space="preserve">прочие поступления, всего </t>
    </r>
    <r>
      <rPr>
        <vertAlign val="superscript"/>
        <sz val="8"/>
        <rFont val="Times New Roman"/>
        <family val="1"/>
        <charset val="204"/>
      </rPr>
      <t>6</t>
    </r>
  </si>
  <si>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</si>
  <si>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</si>
  <si>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</si>
  <si>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</si>
  <si>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</si>
  <si>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</si>
  <si>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</si>
  <si>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</si>
  <si>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</si>
  <si>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</si>
  <si>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</si>
  <si>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</si>
  <si>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</si>
  <si>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</si>
  <si>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</si>
  <si>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</si>
  <si>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</si>
  <si>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</si>
  <si>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</si>
  <si>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</si>
  <si>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</si>
  <si>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</si>
  <si>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</si>
  <si>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</si>
  <si>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</si>
  <si>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t xml:space="preserve">расходы на закупку товаров, работ, услуг, всего </t>
    </r>
    <r>
      <rPr>
        <vertAlign val="superscript"/>
        <sz val="8"/>
        <rFont val="Times New Roman"/>
        <family val="1"/>
        <charset val="204"/>
      </rPr>
      <t>7</t>
    </r>
  </si>
  <si>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</si>
  <si>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</si>
  <si>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прочую закупку товаров, работ и услуг, всего</t>
  </si>
  <si>
    <r>
      <t xml:space="preserve">Выплаты, уменьшающие доход, всего </t>
    </r>
    <r>
      <rPr>
        <b/>
        <vertAlign val="superscript"/>
        <sz val="8"/>
        <rFont val="Times New Roman"/>
        <family val="1"/>
        <charset val="204"/>
      </rPr>
      <t>8</t>
    </r>
  </si>
  <si>
    <r>
      <t xml:space="preserve">в том числе:
налог на прибыль </t>
    </r>
    <r>
      <rPr>
        <vertAlign val="superscript"/>
        <sz val="8"/>
        <rFont val="Times New Roman"/>
        <family val="1"/>
        <charset val="204"/>
      </rPr>
      <t>8</t>
    </r>
  </si>
  <si>
    <r>
      <t xml:space="preserve">налог на добавленную стоимость </t>
    </r>
    <r>
      <rPr>
        <vertAlign val="superscript"/>
        <sz val="8"/>
        <rFont val="Times New Roman"/>
        <family val="1"/>
        <charset val="204"/>
      </rPr>
      <t>8</t>
    </r>
  </si>
  <si>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</si>
  <si>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</si>
  <si>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из них:
возврат в бюджет средств субсидии</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</si>
  <si>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</si>
  <si>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</si>
  <si>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</si>
  <si>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</si>
  <si>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</si>
  <si>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</si>
  <si>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</si>
  <si>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</si>
  <si>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</si>
  <si>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</si>
  <si>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</si>
  <si>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0002</t>
  </si>
  <si>
    <r>
      <t xml:space="preserve">Раздел 2. Сведения по выплатам на закупки товаров, работ, услуг </t>
    </r>
    <r>
      <rPr>
        <b/>
        <vertAlign val="superscript"/>
        <sz val="8"/>
        <rFont val="Times New Roman"/>
        <family val="1"/>
        <charset val="204"/>
      </rPr>
      <t>10</t>
    </r>
  </si>
  <si>
    <t>№
п/п</t>
  </si>
  <si>
    <t>Коды
строк</t>
  </si>
  <si>
    <t>Год
начала закупки</t>
  </si>
  <si>
    <t>на 20</t>
  </si>
  <si>
    <t xml:space="preserve"> г.</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</si>
  <si>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</si>
  <si>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</si>
  <si>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</si>
  <si>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</si>
  <si>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</si>
  <si>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</si>
  <si>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</si>
  <si>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</si>
  <si>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</si>
  <si>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</si>
  <si>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</si>
  <si>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</si>
  <si>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</si>
  <si>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</si>
  <si>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</si>
  <si>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</si>
  <si>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</si>
  <si>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</si>
  <si>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</si>
  <si>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</si>
  <si>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</si>
  <si>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</si>
  <si>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</si>
  <si>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</si>
  <si>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</si>
  <si>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</si>
  <si>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</si>
  <si>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</si>
  <si>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</si>
  <si>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</si>
  <si>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</si>
  <si>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</si>
  <si>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</si>
  <si>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</si>
  <si>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</si>
  <si>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</si>
  <si>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</si>
  <si>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</si>
  <si>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</si>
  <si>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</si>
  <si>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</si>
  <si>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</si>
  <si>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</si>
  <si>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</si>
  <si>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</si>
  <si>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</si>
  <si>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</si>
  <si>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</si>
  <si>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</si>
  <si>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</si>
  <si>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</si>
  <si>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</si>
  <si>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</si>
  <si>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</si>
  <si>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</si>
  <si>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</si>
  <si>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</si>
  <si>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</si>
  <si>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</si>
  <si>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</si>
  <si>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</si>
  <si>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</si>
  <si>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</si>
  <si>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</si>
  <si>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t>
  </si>
  <si>
    <t>СОГЛАСОВАНО</t>
  </si>
  <si>
    <t>(наименование должности уполномоченного лица органа-учредителя)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</si>
  <si>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</si>
  <si>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</si>
  <si>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</si>
  <si>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</si>
  <si>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</si>
  <si>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</si>
  <si>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</si>
  <si>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ВСЕГО</t>
  </si>
  <si>
    <t>На 20__ г</t>
  </si>
  <si>
    <t>Сумма, рублей</t>
  </si>
  <si>
    <r>
      <t xml:space="preserve">Остаток средств на начало текущего финансового года </t>
    </r>
    <r>
      <rPr>
        <b/>
        <vertAlign val="superscript"/>
        <sz val="8"/>
        <rFont val="Times New Roman"/>
        <family val="1"/>
        <charset val="204"/>
      </rPr>
      <t>5</t>
    </r>
  </si>
  <si>
    <t>код типа средств</t>
  </si>
  <si>
    <t>наименование типа средств</t>
  </si>
  <si>
    <t xml:space="preserve">в том числе </t>
  </si>
  <si>
    <t>МП</t>
  </si>
  <si>
    <t>Руководитель финансово-экономической</t>
  </si>
  <si>
    <t>службы учреждения</t>
  </si>
  <si>
    <t>Руководитель финансово-экономической службы учреждения</t>
  </si>
  <si>
    <t>Показатели по поступлениям и выплатам от оказания услуг (выполнения работ) на платной основе и от иной приносящей доход деятельности по разделу "Амбулаторная медицинская помощь"</t>
  </si>
  <si>
    <t xml:space="preserve">Показатели по поступлениям и выплатам по средствам обязательного медицинского страхования </t>
  </si>
  <si>
    <t>Остаток средств на конец текущего финансового года</t>
  </si>
  <si>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</si>
  <si>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4.3</t>
  </si>
  <si>
    <t>Таблица 6</t>
  </si>
  <si>
    <t>(форма)</t>
  </si>
  <si>
    <t xml:space="preserve">финансово-хозяйственной деятельности бюджетного (автономного) учреждения, </t>
  </si>
  <si>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строке 0001 указываются фактические суммы остатков средств на начало текущего финансового года с учетом средств в кассе учреждения</t>
    </r>
  </si>
  <si>
    <t xml:space="preserve">в том числе:
субсидии на финансовое обеспечение выполнения государственного задания за счет средств областного бюджета </t>
  </si>
  <si>
    <t>доходы от оказания услуг по программе обязательного медицинского страхования</t>
  </si>
  <si>
    <t>закупку товаров, работ, услуг в целях капитального ремонта государственного имущества</t>
  </si>
  <si>
    <t>капитальные вложения в объекты государственной собственности, всего</t>
  </si>
  <si>
    <t>в том числе:
приобретение объектов недвижимого имущества государственными  учреждениями</t>
  </si>
  <si>
    <t>строительство объектов недвижимого имущества государственными (муниципальными) учреждениями</t>
  </si>
  <si>
    <r>
      <t>_____</t>
    </r>
    <r>
      <rPr>
        <sz val="7"/>
        <rFont val="Times New Roman"/>
        <family val="1"/>
        <charset val="204"/>
      </rPr>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</si>
  <si>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утверждения Плана</t>
    </r>
  </si>
  <si>
    <t>"____" _______________________ 2020  года</t>
  </si>
  <si>
    <r>
      <t xml:space="preserve">на 2020 год  и плановый период 2021 и 2022 годов </t>
    </r>
    <r>
      <rPr>
        <b/>
        <sz val="10"/>
        <rFont val="Times New Roman"/>
        <family val="1"/>
        <charset val="204"/>
      </rPr>
      <t>&lt;1&gt;</t>
    </r>
  </si>
  <si>
    <r>
      <t xml:space="preserve">от "___" __________________ 2020 года </t>
    </r>
    <r>
      <rPr>
        <b/>
        <sz val="10"/>
        <rFont val="Times New Roman"/>
        <family val="1"/>
        <charset val="204"/>
      </rPr>
      <t>&lt;2&gt;</t>
    </r>
  </si>
  <si>
    <t>Бюджетное учреждение здравоохранения Вологодской области "Кадуйская центральная районная больница"</t>
  </si>
  <si>
    <r>
      <t xml:space="preserve">Адрес фактического местонахождения </t>
    </r>
    <r>
      <rPr>
        <b/>
        <sz val="11"/>
        <rFont val="Times New Roman"/>
        <family val="1"/>
        <charset val="204"/>
      </rPr>
      <t>162510, Вологодская область, поселок Кадуй, улица Надежды, дом 1</t>
    </r>
  </si>
  <si>
    <t>На 2020 г</t>
  </si>
  <si>
    <t>На 2021 г</t>
  </si>
  <si>
    <t>На 2022 г</t>
  </si>
  <si>
    <t>20</t>
  </si>
  <si>
    <t>21</t>
  </si>
  <si>
    <t>22</t>
  </si>
  <si>
    <t>Мазепина Т.М.</t>
  </si>
  <si>
    <t>Зам, главного врача по экономическим вопросам</t>
  </si>
  <si>
    <t>Лабутина Е.М.</t>
  </si>
  <si>
    <t>На 2021г</t>
  </si>
  <si>
    <t>Наименование раздела, подраздела Амбулаторная помощь</t>
  </si>
  <si>
    <t>раздел, подраздел 0904</t>
  </si>
  <si>
    <t>код типа средств 02.01.00</t>
  </si>
  <si>
    <t>наименование типа средств Доходы от оказания платных услуг и иной приносящей доход деятельности</t>
  </si>
  <si>
    <t>код типа средств 02.02.01</t>
  </si>
  <si>
    <t>наименование типа средств Средства от оказания медицинских услуг, предоставляемых женщинам в период беременности, родов и послеродовом периоде</t>
  </si>
  <si>
    <t>На 2022г</t>
  </si>
  <si>
    <t>раздел, подраздел 0901</t>
  </si>
  <si>
    <t xml:space="preserve">Наименование раздела, подраздела Стационарная медицинская помощь </t>
  </si>
  <si>
    <t xml:space="preserve">раздел, подраздел 0902 </t>
  </si>
  <si>
    <t>раздел, подраздел 0903</t>
  </si>
  <si>
    <t>Наименование раздела, подраздела Медицинская помощь в дневных стационарах всех типов</t>
  </si>
  <si>
    <t xml:space="preserve">Наименование раздела, подраздела Скорая медицинская помощь </t>
  </si>
  <si>
    <t>223/021</t>
  </si>
  <si>
    <t>223/022</t>
  </si>
  <si>
    <t>223/023</t>
  </si>
  <si>
    <t>Прочие работы, услуги</t>
  </si>
  <si>
    <t>Оплата отопления и технологических нужд</t>
  </si>
  <si>
    <t>Страхование</t>
  </si>
  <si>
    <t>Увеличение стоимости горюче-смазочных материалов</t>
  </si>
  <si>
    <t>Увеличение стоимости прочих оборотных запасов (материалов)</t>
  </si>
  <si>
    <t>Увеличение стоимости основных средств</t>
  </si>
  <si>
    <t>социальные пособия и компенсации персоналу в денежной форме</t>
  </si>
  <si>
    <t>прочие несоциальные выплаты персоналу в денежной форме</t>
  </si>
  <si>
    <t>штрафы за нарушение законодательства о закупках и нарушение условий контрактов</t>
  </si>
  <si>
    <t>другие эономические санкции</t>
  </si>
  <si>
    <t>Услуги связи</t>
  </si>
  <si>
    <t>Транспортные услуги</t>
  </si>
  <si>
    <t>оплата отопления и технологических нужд</t>
  </si>
  <si>
    <t>оплата потребления электрической энергии</t>
  </si>
  <si>
    <t>оплата водоснабжения помещений</t>
  </si>
  <si>
    <t>Работы, услуги по содержанию имущества</t>
  </si>
  <si>
    <t>Увеличение стоимости лекарственных препаратови материалов, применяемых в медицинских целях</t>
  </si>
  <si>
    <t>Увеличение стоимости мягкого инвентаря</t>
  </si>
  <si>
    <t>Увеличение стоимости прочих материальных запасов однократного применения</t>
  </si>
  <si>
    <t>пособия по социальной помощи населению в натуральной форме</t>
  </si>
  <si>
    <t xml:space="preserve">Проверка: </t>
  </si>
  <si>
    <t xml:space="preserve">ПЛАТНЫЕ ВСЕГО </t>
  </si>
  <si>
    <t>291/045</t>
  </si>
  <si>
    <t xml:space="preserve">ПРОВЕРКА </t>
  </si>
  <si>
    <t>Социальные пособия и компенсации персоналу в денежной форме</t>
  </si>
  <si>
    <t>Прочие несоциальные выплаты персоналу в денежной форме</t>
  </si>
  <si>
    <t>Прочие несоциальные выплаты персоналу в натуральной форме</t>
  </si>
  <si>
    <r>
      <t xml:space="preserve">Распределение численности и оплаты труда работников  </t>
    </r>
    <r>
      <rPr>
        <b/>
        <u/>
        <sz val="12"/>
        <rFont val="Times New Roman"/>
        <family val="1"/>
        <charset val="204"/>
      </rPr>
      <t>БУЗ ВО "Кадуйская ЦРБ"</t>
    </r>
  </si>
  <si>
    <r>
      <t>Раздел, подраздел (КФСР)</t>
    </r>
    <r>
      <rPr>
        <b/>
        <u/>
        <sz val="14"/>
        <color indexed="18"/>
        <rFont val="Times New Roman"/>
        <family val="1"/>
        <charset val="204"/>
      </rPr>
      <t xml:space="preserve"> (09.01) Стационарная медицинская помощь</t>
    </r>
  </si>
  <si>
    <r>
      <t xml:space="preserve">Среднесписочный состав </t>
    </r>
    <r>
      <rPr>
        <b/>
        <u/>
        <sz val="12"/>
        <rFont val="Times New Roman"/>
        <family val="1"/>
        <charset val="204"/>
      </rPr>
      <t>штатных работников с учетом внешних совместителей</t>
    </r>
    <r>
      <rPr>
        <b/>
        <sz val="12"/>
        <rFont val="Times New Roman"/>
        <family val="1"/>
        <charset val="204"/>
      </rPr>
      <t>, занимающих штатные должности  ВСЕГО</t>
    </r>
  </si>
  <si>
    <t>Т.М. Мазепина</t>
  </si>
  <si>
    <t>Е.М. Лабутина</t>
  </si>
  <si>
    <t>Ведущий экономист</t>
  </si>
  <si>
    <t>Е.А. Галенина (81742) 5-24-57</t>
  </si>
  <si>
    <r>
      <t xml:space="preserve">Раздел, подраздел (КФСР)  </t>
    </r>
    <r>
      <rPr>
        <b/>
        <u/>
        <sz val="14"/>
        <color indexed="36"/>
        <rFont val="Times New Roman"/>
        <family val="1"/>
        <charset val="204"/>
      </rPr>
      <t>(09.03) Медицинская помощь в дневных стационарах всех видов помощи</t>
    </r>
  </si>
  <si>
    <t>Таблица 5 (09.03)</t>
  </si>
  <si>
    <r>
      <t>Раздел, подраздел (КФСР)</t>
    </r>
    <r>
      <rPr>
        <u/>
        <sz val="14"/>
        <rFont val="Times New Roman"/>
        <family val="1"/>
        <charset val="204"/>
      </rPr>
      <t xml:space="preserve"> </t>
    </r>
    <r>
      <rPr>
        <b/>
        <u/>
        <sz val="14"/>
        <color indexed="17"/>
        <rFont val="Times New Roman"/>
        <family val="1"/>
        <charset val="204"/>
      </rPr>
      <t>(09.02) Амбулаторная помощь</t>
    </r>
  </si>
  <si>
    <r>
      <t xml:space="preserve">Раздел, подраздел (КФСР)  </t>
    </r>
    <r>
      <rPr>
        <b/>
        <u/>
        <sz val="12"/>
        <color indexed="10"/>
        <rFont val="Times New Roman"/>
        <family val="1"/>
        <charset val="204"/>
      </rPr>
      <t>(09.04)  Скорая медицинская помощь</t>
    </r>
  </si>
  <si>
    <t>111/211</t>
  </si>
  <si>
    <t>112/226</t>
  </si>
  <si>
    <t>112/266</t>
  </si>
  <si>
    <t>111/266</t>
  </si>
  <si>
    <t>112/212</t>
  </si>
  <si>
    <t>112/214</t>
  </si>
  <si>
    <t>Прочие несоциальные выплты персоналу в натуральной форме</t>
  </si>
  <si>
    <t xml:space="preserve">прочие выплаты персоналу, в денежной форме </t>
  </si>
  <si>
    <t>119/213</t>
  </si>
  <si>
    <t>852/291</t>
  </si>
  <si>
    <t>853/295</t>
  </si>
  <si>
    <t>244/221</t>
  </si>
  <si>
    <t>244/222</t>
  </si>
  <si>
    <t>244/223/021</t>
  </si>
  <si>
    <t>244/223/022</t>
  </si>
  <si>
    <t>244/223/023</t>
  </si>
  <si>
    <t>244/225</t>
  </si>
  <si>
    <t>244/226</t>
  </si>
  <si>
    <t>244/310</t>
  </si>
  <si>
    <t>244/341</t>
  </si>
  <si>
    <t>244/343</t>
  </si>
  <si>
    <t>244/345</t>
  </si>
  <si>
    <t>244/346</t>
  </si>
  <si>
    <t>244/227</t>
  </si>
  <si>
    <t xml:space="preserve">Страхование </t>
  </si>
  <si>
    <t>прочие выплаты персоналу в денежной форме</t>
  </si>
  <si>
    <t>244/349</t>
  </si>
  <si>
    <t>853/292</t>
  </si>
  <si>
    <t>853/293</t>
  </si>
  <si>
    <t>323/263</t>
  </si>
  <si>
    <t>платные</t>
  </si>
  <si>
    <t>доходы от операционной аренды</t>
  </si>
  <si>
    <t>доходы отоказания платных услуг(работ), компенсаций затрат</t>
  </si>
  <si>
    <t>ОМС</t>
  </si>
  <si>
    <t>гос.задание</t>
  </si>
  <si>
    <t>иные цели</t>
  </si>
  <si>
    <r>
      <t xml:space="preserve">расходы на закупку товаров, работ, услуг, всего </t>
    </r>
    <r>
      <rPr>
        <b/>
        <vertAlign val="superscript"/>
        <sz val="8"/>
        <rFont val="Times New Roman"/>
        <family val="1"/>
        <charset val="204"/>
      </rPr>
      <t>7</t>
    </r>
  </si>
  <si>
    <t>243/225</t>
  </si>
  <si>
    <t xml:space="preserve">Ведущий экономист </t>
  </si>
  <si>
    <t>Галенина Е.А. 8-817-42-5-24-57</t>
  </si>
  <si>
    <t xml:space="preserve">Таблица 2 </t>
  </si>
  <si>
    <t xml:space="preserve">Показатели по поступлениям и выплатам субсидии, предоставляемой в соответствии с абзацем вторым пункта 1 статьи 78.1 Бюджетного кодекса Российской Федерации (на иные цели) </t>
  </si>
  <si>
    <t xml:space="preserve">Показатели по поступлениям и выплатам от оказания услуг (выполнения работ) на платной основе и от иной приносящей доход деятельности по разделу </t>
  </si>
  <si>
    <t>доходы от оказания платных услуг (работ)</t>
  </si>
  <si>
    <t>225/015</t>
  </si>
  <si>
    <t>851/291</t>
  </si>
  <si>
    <t>321/264</t>
  </si>
  <si>
    <t>119/226</t>
  </si>
  <si>
    <t>раздел, подраздел 0909</t>
  </si>
  <si>
    <t xml:space="preserve">Наименование раздела, подраздела Другие вопросы в области здравоохранения </t>
  </si>
  <si>
    <t>поступления текущего характера от резидентов</t>
  </si>
  <si>
    <t xml:space="preserve">Увеличение стоимости прочих оборотных запасов (материалов) </t>
  </si>
  <si>
    <r>
      <t xml:space="preserve">прочие поступления, всего </t>
    </r>
    <r>
      <rPr>
        <b/>
        <vertAlign val="superscript"/>
        <sz val="8"/>
        <rFont val="Times New Roman"/>
        <family val="1"/>
        <charset val="204"/>
      </rPr>
      <t>6</t>
    </r>
  </si>
  <si>
    <t>244/344</t>
  </si>
  <si>
    <t>Т.М.Мазепина</t>
  </si>
  <si>
    <t>код типа средств 02.02.00</t>
  </si>
  <si>
    <t xml:space="preserve">наименование типа средств Безвозмездные поступления от физичемких и юридических лиц, в том числе добровольные пожертвования, целевые средства </t>
  </si>
  <si>
    <t xml:space="preserve">поступления текущего характера бюджетным и автономным учреждениям от сектора государственного управления </t>
  </si>
  <si>
    <t xml:space="preserve">из них, просроченная кредиторская задолженность на 01 января 2020 года </t>
  </si>
  <si>
    <t>26441/1</t>
  </si>
  <si>
    <t>Главный врач</t>
  </si>
  <si>
    <t xml:space="preserve">Мазепина Т.М. </t>
  </si>
  <si>
    <t>Иные выплаты населению</t>
  </si>
  <si>
    <t>из них:
гранты, предоставляемые бюджетным учреждениям</t>
  </si>
  <si>
    <t>гранты,предоставляемые автономнымучреждениям</t>
  </si>
  <si>
    <t>гранты,предоставляемые иным некомерческим организациям(за исключением бюджетных и автономных учреждений)</t>
  </si>
  <si>
    <t xml:space="preserve">гранты,предоставляемые другим организациям и физическим лицам </t>
  </si>
  <si>
    <t xml:space="preserve">платежи в целях обеспечения реализации соглашений с правительствами иностранных государств и международных организаций </t>
  </si>
  <si>
    <t xml:space="preserve">Иные выплаты населению </t>
  </si>
  <si>
    <t xml:space="preserve">из них:
гранты, предоставляемые бюджетным учреждениям </t>
  </si>
  <si>
    <t xml:space="preserve">гранты,предоставляемые автономным учреждениям </t>
  </si>
  <si>
    <t xml:space="preserve">целевые субсидии </t>
  </si>
  <si>
    <t xml:space="preserve">Иные выпллаты населению </t>
  </si>
  <si>
    <t>гранты, предоставляемые иным некоммерческим организациям (за исключением бюджетных и автономных учреждений)</t>
  </si>
  <si>
    <t xml:space="preserve">гранты, прдоставляемые другим организациям и физическим лицам </t>
  </si>
  <si>
    <t xml:space="preserve">взносы в международные организации </t>
  </si>
  <si>
    <t xml:space="preserve">платежи в целях обеспечения реализации соглашений с правительствами иностранных государств и международными организациями </t>
  </si>
  <si>
    <t>из них:
гранты, предоставляемые бюджетным учреждениям другим организациям и физическим лицам</t>
  </si>
  <si>
    <t>гранты,предоставляемые автономным учреждениям</t>
  </si>
  <si>
    <t>1.3.1</t>
  </si>
  <si>
    <t>в том числе: в соответствии с Федеральным законом №44-ФЗ</t>
  </si>
  <si>
    <t>26310</t>
  </si>
  <si>
    <t>26310.1</t>
  </si>
  <si>
    <t>1.3.2</t>
  </si>
  <si>
    <t>в соответствии с Федеральным законом 223-ФЗ</t>
  </si>
  <si>
    <t>26320</t>
  </si>
  <si>
    <t>из них (10)</t>
  </si>
  <si>
    <t>из них:(10)</t>
  </si>
  <si>
    <t>26421.1</t>
  </si>
  <si>
    <t>26430.1</t>
  </si>
  <si>
    <t>26451.1</t>
  </si>
  <si>
    <t>из них:
гранты, предоставляемые бюджетным учреждениямдругим организациям и физическим лицам</t>
  </si>
  <si>
    <t>гранты, предоставляемые  автномым учреждениям</t>
  </si>
  <si>
    <t>гранты,предоставлячемые иным некомерческим организациям (за исключением бюджетных иавтономных учреждений)</t>
  </si>
  <si>
    <t>гранты, предоставляемые иным некомерческим организациям(за исключением бюджетных и автономных учреждений)</t>
  </si>
  <si>
    <t>гранты,предоставляемые другим организациям и физическим лицам</t>
  </si>
  <si>
    <t xml:space="preserve">платежи в целях обеспечения реализации соглашений с правительствами иностранных государств и международными организыциями </t>
  </si>
  <si>
    <t xml:space="preserve">иные выплаты текущего характера организациям </t>
  </si>
  <si>
    <t>321/262</t>
  </si>
  <si>
    <t xml:space="preserve">
пособия, компенсации и иные социальные выплаты гражданам, кроме публичных нормативных обязательств</t>
  </si>
  <si>
    <t>4.1</t>
  </si>
  <si>
    <t xml:space="preserve">Код бюджетной классификации </t>
  </si>
  <si>
    <t>1.4.2.1.1</t>
  </si>
  <si>
    <t>04.2.09.06590</t>
  </si>
  <si>
    <t>26421.2</t>
  </si>
  <si>
    <t>04.01.04.06590</t>
  </si>
  <si>
    <t>1.4.2.1.2</t>
  </si>
  <si>
    <t>26421.3</t>
  </si>
  <si>
    <t>04.2.07.06590</t>
  </si>
  <si>
    <t>1.4.2.1.3</t>
  </si>
  <si>
    <t>26421.4</t>
  </si>
  <si>
    <t>04.1.04.06590</t>
  </si>
  <si>
    <t>1.4.2.1.4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</si>
</sst>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45" x14ac:knownFonts="1">
    <font>
      <sz val="10"/>
      <name val="Arial Cyr"/>
      <charset val="204"/>
    </font>
    <font>
      <sz val="10"/>
      <name val="Times New Roman"/>
      <family val="1"/>
      <charset val="204"/>
    </font>
    <font>
      <sz val="8"/>
      <name val="Arial Cyr"/>
      <charset val="204"/>
    </font>
    <font>
      <sz val="12"/>
      <name val="Times New Roman"/>
      <family val="1"/>
      <charset val="204"/>
    </font>
    <font>
      <b/>
      <sz val="14"/>
      <name val="Times New Roman"/>
      <family val="1"/>
      <charset val="204"/>
    </font>
    <font>
      <sz val="11"/>
      <name val="Times New Roman"/>
      <family val="1"/>
      <charset val="204"/>
    </font>
    <font>
      <sz val="14"/>
      <name val="Times New Roman"/>
      <family val="1"/>
      <charset val="204"/>
    </font>
    <font>
      <sz val="8"/>
      <name val="Times New Roman"/>
      <family val="1"/>
      <charset val="204"/>
    </font>
    <font>
      <sz val="11"/>
      <name val="Arial Cyr"/>
      <family val="2"/>
      <charset val="204"/>
    </font>
    <font>
      <sz val="8"/>
      <name val="Arial Cyr"/>
      <family val="2"/>
      <charset val="204"/>
    </font>
    <font>
      <vertAlign val="subscript"/>
      <sz val="11"/>
      <name val="Times New Roman"/>
      <family val="1"/>
      <charset val="204"/>
    </font>
    <font>
      <sz val="10"/>
      <name val="Arial Cyr"/>
      <charset val="204"/>
    </font>
    <font>
      <b/>
      <sz val="10"/>
      <name val="Times New Roman"/>
      <family val="1"/>
      <charset val="204"/>
    </font>
    <font>
      <b/>
      <sz val="12"/>
      <name val="Times New Roman"/>
      <family val="1"/>
      <charset val="204"/>
    </font>
    <font>
      <b/>
      <sz val="11"/>
      <name val="Times New Roman"/>
      <family val="1"/>
      <charset val="204"/>
    </font>
    <font>
      <sz val="12"/>
      <color indexed="8"/>
      <name val="Times New Roman"/>
      <family val="1"/>
      <charset val="204"/>
    </font>
    <font>
      <b/>
      <sz val="16"/>
      <name val="Times New Roman"/>
      <family val="1"/>
      <charset val="204"/>
    </font>
    <font>
      <b/>
      <sz val="18"/>
      <name val="Times New Roman"/>
      <family val="1"/>
      <charset val="204"/>
    </font>
    <font>
      <sz val="14"/>
      <name val="Arial Cyr"/>
      <charset val="204"/>
    </font>
    <font>
      <u/>
      <sz val="12"/>
      <name val="Times New Roman"/>
      <family val="1"/>
      <charset val="204"/>
    </font>
    <font>
      <vertAlign val="superscript"/>
      <sz val="8"/>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7"/>
      <name val="Times New Roman"/>
      <family val="1"/>
      <charset val="204"/>
    </font>
    <font>
      <b/>
      <sz val="9"/>
      <name val="Times New Roman"/>
      <family val="1"/>
      <charset val="204"/>
    </font>
    <font>
      <sz val="6"/>
      <name val="Times New Roman"/>
      <family val="1"/>
      <charset val="204"/>
    </font>
    <font>
      <b/>
      <i/>
      <sz val="12"/>
      <name val="Times New Roman"/>
      <family val="1"/>
      <charset val="204"/>
    </font>
    <font>
      <b/>
      <sz val="10"/>
      <name val="Arial Cyr"/>
      <charset val="204"/>
    </font>
    <font>
      <sz val="9"/>
      <name val="Times New Roman"/>
      <family val="1"/>
      <charset val="204"/>
    </font>
    <font>
      <b/>
      <u/>
      <sz val="12"/>
      <name val="Times New Roman"/>
      <family val="1"/>
      <charset val="204"/>
    </font>
    <font>
      <b/>
      <u/>
      <sz val="14"/>
      <color indexed="18"/>
      <name val="Times New Roman"/>
      <family val="1"/>
      <charset val="204"/>
    </font>
    <font>
      <b/>
      <u/>
      <sz val="14"/>
      <color indexed="36"/>
      <name val="Times New Roman"/>
      <family val="1"/>
      <charset val="204"/>
    </font>
    <font>
      <u/>
      <sz val="14"/>
      <name val="Times New Roman"/>
      <family val="1"/>
      <charset val="204"/>
    </font>
    <font>
      <b/>
      <u/>
      <sz val="14"/>
      <color indexed="17"/>
      <name val="Times New Roman"/>
      <family val="1"/>
      <charset val="204"/>
    </font>
    <font>
      <b/>
      <u/>
      <sz val="12"/>
      <color indexed="10"/>
      <name val="Times New Roman"/>
      <family val="1"/>
      <charset val="204"/>
    </font>
    <font>
      <b/>
      <sz val="12"/>
      <color theme="5" tint="-0.499984740745262"/>
      <name val="Times New Roman"/>
      <family val="1"/>
      <charset val="204"/>
    </font>
    <font>
      <b/>
      <sz val="12"/>
      <color rgb="FFFF0000"/>
      <name val="Times New Roman"/>
      <family val="1"/>
      <charset val="204"/>
    </font>
    <font>
      <sz val="12"/>
      <color theme="1"/>
      <name val="Times New Roman"/>
      <family val="1"/>
      <charset val="204"/>
    </font>
    <font>
      <sz val="12"/>
      <color rgb="FFFF0000"/>
      <name val="Times New Roman"/>
      <family val="1"/>
      <charset val="204"/>
    </font>
    <font>
      <sz val="10"/>
      <color rgb="FFFF0000"/>
      <name val="Arial Cyr"/>
      <charset val="204"/>
    </font>
    <font>
      <b/>
      <sz val="12"/>
      <color rgb="FF7030A0"/>
      <name val="Times New Roman"/>
      <family val="1"/>
      <charset val="204"/>
    </font>
    <font>
      <sz val="8"/>
      <color theme="1"/>
      <name val="Times New Roman"/>
      <family val="1"/>
      <charset val="204"/>
    </font>
    <font>
      <b/>
      <sz val="8"/>
      <color rgb="FFFF0000"/>
      <name val="Times New Roman"/>
      <family val="1"/>
      <charset val="204"/>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3">
    <xf numFmtId="0" fontId="0" fillId="0" borderId="0"/>
    <xf numFmtId="0" fontId="10" fillId="0" borderId="0"/>
    <xf numFmtId="43" fontId="11" fillId="0" borderId="0" applyFont="0" applyFill="0" applyBorder="0" applyAlignment="0" applyProtection="0"/>
  </cellStyleXfs>
  <cellXfs count="592">
    <xf numFmtId="0" fontId="0" fillId="0" borderId="0" xfId="0"/>
    <xf numFmtId="0" fontId="3" fillId="0" borderId="0" xfId="0" applyFont="1"/>
    <xf numFmtId="0" fontId="5" fillId="0" borderId="0" xfId="0" applyFont="1" applyFill="1" applyBorder="1" applyAlignment="1"/>
    <xf numFmtId="0" fontId="5" fillId="0" borderId="0" xfId="0" applyFont="1" applyFill="1" applyBorder="1" applyAlignment="1">
      <alignment wrapText="1"/>
    </xf>
    <xf numFmtId="0" fontId="5" fillId="0" borderId="0" xfId="0" applyFont="1" applyFill="1" applyBorder="1" applyAlignment="1">
      <alignment horizontal="left"/>
    </xf>
    <xf numFmtId="0" fontId="1"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xf numFmtId="0" fontId="13" fillId="0" borderId="0" xfId="0" applyFont="1" applyFill="1" applyBorder="1" applyAlignment="1">
      <alignment horizontal="right"/>
    </xf>
    <xf numFmtId="0" fontId="14" fillId="0" borderId="0" xfId="0" applyFont="1" applyFill="1" applyBorder="1" applyAlignment="1">
      <alignment wrapText="1"/>
    </xf>
    <xf numFmtId="0" fontId="5" fillId="0" borderId="0" xfId="0" applyFont="1" applyFill="1" applyBorder="1" applyAlignment="1">
      <alignment vertical="top"/>
    </xf>
    <xf numFmtId="0" fontId="1" fillId="0" borderId="0" xfId="0" applyFont="1" applyFill="1"/>
    <xf numFmtId="0" fontId="3" fillId="0" borderId="1" xfId="0" applyFont="1" applyBorder="1" applyAlignment="1">
      <alignment horizontal="center"/>
    </xf>
    <xf numFmtId="49" fontId="3" fillId="0" borderId="1" xfId="0" applyNumberFormat="1" applyFont="1" applyBorder="1" applyAlignment="1">
      <alignment horizontal="center" vertical="top"/>
    </xf>
    <xf numFmtId="0" fontId="3" fillId="0" borderId="0" xfId="1" applyFont="1" applyAlignment="1">
      <alignment vertical="center"/>
    </xf>
    <xf numFmtId="0" fontId="19" fillId="0" borderId="0" xfId="1" applyFont="1" applyAlignment="1">
      <alignment vertical="center"/>
    </xf>
    <xf numFmtId="0" fontId="1" fillId="0" borderId="0" xfId="1" applyFont="1" applyAlignment="1">
      <alignment vertical="center"/>
    </xf>
    <xf numFmtId="0" fontId="3" fillId="0" borderId="0" xfId="1" applyFont="1" applyFill="1" applyAlignment="1">
      <alignment horizontal="center" vertical="center"/>
    </xf>
    <xf numFmtId="0" fontId="3" fillId="0" borderId="0" xfId="1" applyFont="1" applyBorder="1" applyAlignment="1">
      <alignment vertical="center"/>
    </xf>
    <xf numFmtId="49" fontId="13" fillId="0" borderId="1" xfId="0" applyNumberFormat="1" applyFont="1" applyBorder="1" applyAlignment="1">
      <alignment horizontal="center" vertical="top"/>
    </xf>
    <xf numFmtId="0" fontId="6" fillId="0" borderId="0" xfId="0" applyFont="1" applyFill="1" applyAlignment="1">
      <alignment horizontal="left" indent="15"/>
    </xf>
    <xf numFmtId="0" fontId="3" fillId="0" borderId="0" xfId="0" applyFont="1" applyFill="1" applyAlignment="1">
      <alignment horizontal="left"/>
    </xf>
    <xf numFmtId="0" fontId="8" fillId="0" borderId="0" xfId="1" applyFont="1" applyFill="1"/>
    <xf numFmtId="0" fontId="18" fillId="0" borderId="0" xfId="0" applyFont="1" applyFill="1" applyAlignment="1">
      <alignment wrapText="1"/>
    </xf>
    <xf numFmtId="0" fontId="9" fillId="0" borderId="0" xfId="1" applyFont="1" applyFill="1" applyAlignment="1"/>
    <xf numFmtId="0" fontId="9" fillId="0" borderId="0" xfId="1" applyFont="1" applyFill="1"/>
    <xf numFmtId="0" fontId="7" fillId="0" borderId="0" xfId="0" applyFont="1" applyFill="1" applyBorder="1" applyAlignment="1">
      <alignment horizontal="center" wrapText="1"/>
    </xf>
    <xf numFmtId="0" fontId="15" fillId="0" borderId="0" xfId="0" applyFont="1" applyFill="1"/>
    <xf numFmtId="0" fontId="3" fillId="0" borderId="0" xfId="0" applyFont="1" applyFill="1" applyBorder="1"/>
    <xf numFmtId="0" fontId="3" fillId="0" borderId="2" xfId="1" applyFont="1" applyBorder="1" applyAlignment="1">
      <alignment vertical="center"/>
    </xf>
    <xf numFmtId="0" fontId="3" fillId="0" borderId="2" xfId="1" applyFont="1" applyBorder="1" applyAlignment="1">
      <alignment horizontal="center" vertical="center"/>
    </xf>
    <xf numFmtId="0" fontId="1" fillId="0" borderId="0" xfId="0" applyFont="1"/>
    <xf numFmtId="0" fontId="1" fillId="0" borderId="0" xfId="1" applyFont="1"/>
    <xf numFmtId="0" fontId="5" fillId="0" borderId="0" xfId="1" applyFont="1"/>
    <xf numFmtId="0" fontId="5" fillId="0" borderId="0" xfId="1" applyFont="1" applyBorder="1"/>
    <xf numFmtId="0" fontId="19" fillId="0" borderId="2" xfId="1" applyFont="1" applyBorder="1" applyAlignment="1">
      <alignment vertical="center"/>
    </xf>
    <xf numFmtId="0" fontId="3" fillId="0" borderId="0" xfId="1" applyFont="1" applyAlignment="1"/>
    <xf numFmtId="0" fontId="1" fillId="0" borderId="0" xfId="1" applyFont="1" applyAlignment="1"/>
    <xf numFmtId="0" fontId="5" fillId="0" borderId="2" xfId="1" applyFont="1" applyBorder="1"/>
    <xf numFmtId="0" fontId="6" fillId="0" borderId="0" xfId="0" applyFont="1" applyFill="1"/>
    <xf numFmtId="49" fontId="3" fillId="0" borderId="0" xfId="0" applyNumberFormat="1" applyFont="1" applyAlignment="1">
      <alignment horizontal="left" vertical="top"/>
    </xf>
    <xf numFmtId="49" fontId="3" fillId="0" borderId="0" xfId="0" applyNumberFormat="1" applyFont="1" applyAlignment="1">
      <alignment horizontal="right" vertical="top"/>
    </xf>
    <xf numFmtId="49" fontId="13" fillId="0" borderId="0" xfId="0" applyNumberFormat="1" applyFont="1" applyAlignment="1">
      <alignment horizontal="left" vertical="top"/>
    </xf>
    <xf numFmtId="49" fontId="3" fillId="2" borderId="0" xfId="0" applyNumberFormat="1" applyFont="1" applyFill="1" applyAlignment="1">
      <alignment horizontal="left" vertical="top"/>
    </xf>
    <xf numFmtId="0" fontId="3" fillId="2" borderId="0" xfId="0" applyFont="1" applyFill="1"/>
    <xf numFmtId="0" fontId="3" fillId="2" borderId="0" xfId="0" applyFont="1" applyFill="1" applyAlignment="1">
      <alignment horizontal="left" vertical="top" wrapText="1"/>
    </xf>
    <xf numFmtId="0" fontId="3" fillId="0" borderId="0" xfId="0" applyFont="1" applyAlignment="1">
      <alignment horizontal="left" vertical="top" wrapText="1"/>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0" fontId="13" fillId="0" borderId="1" xfId="0" applyFont="1" applyBorder="1" applyAlignment="1">
      <alignment horizontal="center"/>
    </xf>
    <xf numFmtId="0" fontId="13" fillId="0" borderId="0" xfId="0" applyFont="1" applyAlignment="1">
      <alignment horizontal="center"/>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0" fontId="6" fillId="0" borderId="0" xfId="0" applyFont="1" applyAlignment="1">
      <alignment horizontal="right"/>
    </xf>
    <xf numFmtId="0" fontId="1" fillId="0" borderId="0" xfId="1" applyFont="1" applyBorder="1" applyAlignment="1">
      <alignment vertical="center"/>
    </xf>
    <xf numFmtId="0" fontId="4" fillId="0" borderId="0" xfId="0" applyFont="1" applyFill="1" applyAlignment="1">
      <alignment horizontal="center" vertical="center" wrapText="1"/>
    </xf>
    <xf numFmtId="0" fontId="5" fillId="0" borderId="0" xfId="0" applyFont="1" applyFill="1" applyBorder="1" applyAlignment="1">
      <alignment vertical="top" wrapText="1"/>
    </xf>
    <xf numFmtId="0" fontId="4" fillId="0" borderId="0" xfId="0" applyFont="1" applyFill="1" applyAlignment="1">
      <alignment horizontal="right"/>
    </xf>
    <xf numFmtId="0" fontId="1" fillId="0" borderId="0" xfId="0" applyFont="1" applyFill="1" applyBorder="1" applyAlignment="1">
      <alignment vertical="top" wrapText="1"/>
    </xf>
    <xf numFmtId="0" fontId="12" fillId="0" borderId="0" xfId="0" applyFont="1" applyFill="1" applyBorder="1" applyAlignment="1">
      <alignment horizontal="right"/>
    </xf>
    <xf numFmtId="0" fontId="5" fillId="0" borderId="0" xfId="0" applyFont="1" applyFill="1" applyBorder="1" applyAlignment="1">
      <alignment horizontal="left" wrapText="1"/>
    </xf>
    <xf numFmtId="0" fontId="14" fillId="0" borderId="0" xfId="0" applyFont="1" applyFill="1" applyBorder="1" applyAlignment="1">
      <alignment horizontal="left" wrapText="1"/>
    </xf>
    <xf numFmtId="0" fontId="14" fillId="0" borderId="2" xfId="0" applyFont="1" applyFill="1" applyBorder="1" applyAlignment="1">
      <alignment horizontal="right"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14" fillId="0" borderId="5" xfId="0" applyFont="1" applyFill="1" applyBorder="1" applyAlignment="1">
      <alignment wrapText="1"/>
    </xf>
    <xf numFmtId="0" fontId="3" fillId="0" borderId="5" xfId="0" applyFont="1" applyFill="1" applyBorder="1" applyAlignment="1">
      <alignment horizontal="center"/>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23" fillId="0" borderId="0" xfId="0" applyFont="1" applyAlignment="1">
      <alignment horizontal="left"/>
    </xf>
    <xf numFmtId="0" fontId="25" fillId="0" borderId="0" xfId="0" applyFont="1" applyAlignment="1">
      <alignment horizontal="left"/>
    </xf>
    <xf numFmtId="0" fontId="7" fillId="0" borderId="0" xfId="0" applyFont="1" applyBorder="1" applyAlignment="1"/>
    <xf numFmtId="0" fontId="21" fillId="0" borderId="0" xfId="0" applyFont="1" applyBorder="1" applyAlignment="1"/>
    <xf numFmtId="0" fontId="6" fillId="0" borderId="0" xfId="0" applyFont="1" applyFill="1" applyBorder="1" applyAlignment="1">
      <alignment horizontal="center" wrapText="1"/>
    </xf>
    <xf numFmtId="0" fontId="1" fillId="0" borderId="0" xfId="1" applyFont="1" applyAlignment="1">
      <alignment horizontal="center" vertical="center"/>
    </xf>
    <xf numFmtId="0" fontId="1" fillId="0" borderId="0" xfId="1" applyFont="1" applyBorder="1" applyAlignment="1">
      <alignment horizontal="center" vertical="center"/>
    </xf>
    <xf numFmtId="0" fontId="7" fillId="0" borderId="1" xfId="0" applyFont="1" applyBorder="1" applyAlignment="1"/>
    <xf numFmtId="0" fontId="21" fillId="0" borderId="1" xfId="0" applyFont="1" applyBorder="1" applyAlignment="1"/>
    <xf numFmtId="0" fontId="23" fillId="0" borderId="0" xfId="0" applyFont="1" applyAlignment="1">
      <alignment wrapText="1"/>
    </xf>
    <xf numFmtId="0" fontId="7" fillId="0" borderId="0" xfId="0" applyFont="1" applyBorder="1" applyAlignment="1">
      <alignment wrapText="1"/>
    </xf>
    <xf numFmtId="49" fontId="7" fillId="0" borderId="0" xfId="0" applyNumberFormat="1" applyFont="1" applyBorder="1" applyAlignment="1"/>
    <xf numFmtId="49" fontId="7" fillId="0" borderId="8" xfId="0" applyNumberFormat="1" applyFont="1" applyBorder="1" applyAlignment="1">
      <alignment horizontal="center"/>
    </xf>
    <xf numFmtId="0" fontId="26" fillId="0" borderId="9" xfId="0" applyFont="1" applyFill="1" applyBorder="1" applyAlignment="1">
      <alignment horizontal="center" vertical="top" wrapText="1"/>
    </xf>
    <xf numFmtId="0" fontId="26" fillId="0" borderId="9" xfId="0" applyFont="1" applyFill="1" applyBorder="1" applyAlignment="1">
      <alignment horizontal="center" vertical="top"/>
    </xf>
    <xf numFmtId="0" fontId="7" fillId="0" borderId="1" xfId="0" applyFont="1" applyBorder="1" applyAlignment="1">
      <alignment horizontal="center"/>
    </xf>
    <xf numFmtId="0" fontId="21" fillId="0" borderId="1" xfId="0" applyFont="1" applyBorder="1" applyAlignment="1">
      <alignment horizontal="center"/>
    </xf>
    <xf numFmtId="49" fontId="21" fillId="0" borderId="8" xfId="0" applyNumberFormat="1" applyFont="1" applyBorder="1" applyAlignment="1">
      <alignment horizontal="center"/>
    </xf>
    <xf numFmtId="0" fontId="21" fillId="0" borderId="8" xfId="0" applyFont="1" applyBorder="1" applyAlignment="1">
      <alignment horizontal="center"/>
    </xf>
    <xf numFmtId="0" fontId="21" fillId="0" borderId="0" xfId="0" applyFont="1" applyAlignment="1">
      <alignment horizontal="left"/>
    </xf>
    <xf numFmtId="0" fontId="7" fillId="0" borderId="0" xfId="0" applyFont="1" applyAlignment="1">
      <alignment horizontal="left"/>
    </xf>
    <xf numFmtId="0" fontId="27" fillId="0" borderId="0" xfId="0" applyFont="1" applyAlignment="1">
      <alignment horizontal="left"/>
    </xf>
    <xf numFmtId="0" fontId="27" fillId="0" borderId="0" xfId="0" applyFont="1" applyAlignment="1">
      <alignment horizontal="center"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7" fillId="0" borderId="14"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7" fillId="0" borderId="0" xfId="0" applyFont="1" applyBorder="1" applyAlignment="1">
      <alignment horizontal="left" wrapText="1"/>
    </xf>
    <xf numFmtId="0" fontId="19" fillId="0" borderId="0" xfId="1" applyFont="1" applyBorder="1" applyAlignment="1">
      <alignment vertical="center"/>
    </xf>
    <xf numFmtId="0" fontId="27" fillId="0" borderId="0" xfId="0" applyFont="1" applyBorder="1" applyAlignment="1">
      <alignment horizontal="center" vertical="top"/>
    </xf>
    <xf numFmtId="0" fontId="27" fillId="0" borderId="0" xfId="0" applyFont="1" applyAlignment="1"/>
    <xf numFmtId="0" fontId="3" fillId="0" borderId="2" xfId="1" applyFont="1" applyBorder="1" applyAlignment="1">
      <alignment horizontal="left"/>
    </xf>
    <xf numFmtId="0" fontId="1" fillId="0" borderId="0" xfId="1" applyFont="1" applyBorder="1" applyAlignment="1">
      <alignment horizontal="left"/>
    </xf>
    <xf numFmtId="4" fontId="3" fillId="0" borderId="0" xfId="0" applyNumberFormat="1" applyFont="1" applyFill="1" applyBorder="1"/>
    <xf numFmtId="0" fontId="7" fillId="3" borderId="1" xfId="0" applyFont="1" applyFill="1" applyBorder="1" applyAlignment="1">
      <alignment horizontal="center"/>
    </xf>
    <xf numFmtId="0" fontId="7" fillId="3" borderId="1" xfId="0" applyFont="1" applyFill="1" applyBorder="1" applyAlignment="1"/>
    <xf numFmtId="4" fontId="26" fillId="0" borderId="8" xfId="0" applyNumberFormat="1" applyFont="1" applyBorder="1" applyAlignment="1"/>
    <xf numFmtId="4" fontId="26" fillId="0" borderId="8" xfId="0" applyNumberFormat="1" applyFont="1" applyFill="1" applyBorder="1"/>
    <xf numFmtId="0" fontId="26" fillId="0" borderId="8" xfId="0" applyFont="1" applyFill="1" applyBorder="1"/>
    <xf numFmtId="0" fontId="30" fillId="0" borderId="8" xfId="0" applyFont="1" applyFill="1" applyBorder="1"/>
    <xf numFmtId="4" fontId="30" fillId="0" borderId="1" xfId="0" applyNumberFormat="1" applyFont="1" applyBorder="1" applyAlignment="1"/>
    <xf numFmtId="0" fontId="30" fillId="0" borderId="1" xfId="0" applyFont="1" applyBorder="1" applyAlignment="1"/>
    <xf numFmtId="4" fontId="26" fillId="0" borderId="1" xfId="0" applyNumberFormat="1" applyFont="1" applyBorder="1" applyAlignment="1"/>
    <xf numFmtId="0" fontId="26" fillId="0" borderId="1" xfId="0" applyFont="1" applyBorder="1" applyAlignment="1"/>
    <xf numFmtId="4" fontId="30" fillId="3" borderId="1" xfId="0" applyNumberFormat="1" applyFont="1" applyFill="1" applyBorder="1" applyAlignment="1"/>
    <xf numFmtId="4" fontId="26" fillId="3" borderId="1" xfId="0" applyNumberFormat="1" applyFont="1" applyFill="1" applyBorder="1" applyAlignment="1"/>
    <xf numFmtId="4" fontId="30" fillId="0" borderId="1" xfId="0" applyNumberFormat="1" applyFont="1" applyBorder="1" applyAlignment="1">
      <alignment horizontal="center" vertical="center"/>
    </xf>
    <xf numFmtId="4" fontId="26" fillId="0" borderId="8" xfId="0" applyNumberFormat="1" applyFont="1" applyBorder="1" applyAlignment="1">
      <alignment horizontal="center" vertical="center"/>
    </xf>
    <xf numFmtId="4" fontId="26" fillId="0" borderId="1" xfId="0" applyNumberFormat="1" applyFont="1" applyBorder="1" applyAlignment="1">
      <alignment horizontal="center" vertical="center"/>
    </xf>
    <xf numFmtId="0" fontId="21" fillId="3" borderId="1" xfId="0" applyFont="1" applyFill="1" applyBorder="1" applyAlignment="1">
      <alignment horizontal="center"/>
    </xf>
    <xf numFmtId="49" fontId="7" fillId="3" borderId="18" xfId="0" applyNumberFormat="1" applyFont="1" applyFill="1" applyBorder="1" applyAlignment="1">
      <alignment horizontal="left" vertical="top" wrapText="1"/>
    </xf>
    <xf numFmtId="49" fontId="7" fillId="3" borderId="19" xfId="0" applyNumberFormat="1" applyFont="1" applyFill="1" applyBorder="1" applyAlignment="1">
      <alignment horizontal="left" vertical="top" wrapText="1"/>
    </xf>
    <xf numFmtId="49" fontId="7" fillId="3" borderId="20" xfId="0" applyNumberFormat="1" applyFont="1" applyFill="1" applyBorder="1" applyAlignment="1">
      <alignment horizontal="left" vertical="top"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2" fontId="13" fillId="0" borderId="1" xfId="0" applyNumberFormat="1" applyFont="1" applyBorder="1" applyAlignment="1">
      <alignment horizontal="center" vertical="center"/>
    </xf>
    <xf numFmtId="49" fontId="13" fillId="0" borderId="1" xfId="0" applyNumberFormat="1" applyFont="1" applyBorder="1" applyAlignment="1">
      <alignment horizontal="left" vertical="top" wrapText="1"/>
    </xf>
    <xf numFmtId="2" fontId="13" fillId="0" borderId="1" xfId="0" applyNumberFormat="1" applyFont="1" applyFill="1" applyBorder="1" applyAlignment="1">
      <alignment horizontal="center" vertical="center"/>
    </xf>
    <xf numFmtId="165"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49" fontId="13" fillId="4" borderId="1" xfId="0" applyNumberFormat="1" applyFont="1" applyFill="1" applyBorder="1" applyAlignment="1">
      <alignment horizontal="center" vertical="top"/>
    </xf>
    <xf numFmtId="49" fontId="13" fillId="4" borderId="1" xfId="0" applyNumberFormat="1" applyFont="1" applyFill="1" applyBorder="1" applyAlignment="1">
      <alignment horizontal="left" vertical="top" wrapText="1"/>
    </xf>
    <xf numFmtId="2" fontId="28" fillId="4" borderId="1" xfId="0" applyNumberFormat="1" applyFont="1" applyFill="1" applyBorder="1" applyAlignment="1">
      <alignment horizontal="center" vertical="center"/>
    </xf>
    <xf numFmtId="165" fontId="28" fillId="4" borderId="1" xfId="0" applyNumberFormat="1" applyFont="1" applyFill="1" applyBorder="1" applyAlignment="1">
      <alignment horizontal="center" vertical="center"/>
    </xf>
    <xf numFmtId="164" fontId="28" fillId="4" borderId="1" xfId="0" applyNumberFormat="1" applyFont="1" applyFill="1" applyBorder="1" applyAlignment="1">
      <alignment horizontal="center" vertical="center"/>
    </xf>
    <xf numFmtId="49" fontId="37" fillId="0" borderId="1" xfId="0" applyNumberFormat="1" applyFont="1" applyBorder="1" applyAlignment="1">
      <alignment horizontal="center" vertical="top"/>
    </xf>
    <xf numFmtId="49" fontId="37" fillId="0" borderId="1" xfId="0" applyNumberFormat="1" applyFont="1" applyFill="1" applyBorder="1" applyAlignment="1">
      <alignment horizontal="left" vertical="top" wrapText="1"/>
    </xf>
    <xf numFmtId="49" fontId="3" fillId="4" borderId="1" xfId="0" applyNumberFormat="1" applyFont="1" applyFill="1" applyBorder="1" applyAlignment="1">
      <alignment horizontal="center" vertical="top"/>
    </xf>
    <xf numFmtId="49" fontId="3" fillId="4" borderId="1" xfId="0" applyNumberFormat="1" applyFont="1" applyFill="1" applyBorder="1" applyAlignment="1">
      <alignment horizontal="left" vertical="top" wrapText="1"/>
    </xf>
    <xf numFmtId="2" fontId="13" fillId="4" borderId="1" xfId="0" applyNumberFormat="1" applyFont="1" applyFill="1" applyBorder="1" applyAlignment="1">
      <alignment horizontal="center" vertical="center"/>
    </xf>
    <xf numFmtId="165" fontId="13" fillId="4" borderId="1" xfId="0" applyNumberFormat="1" applyFont="1" applyFill="1" applyBorder="1" applyAlignment="1">
      <alignment horizontal="center" vertical="center"/>
    </xf>
    <xf numFmtId="164" fontId="13" fillId="4" borderId="1" xfId="0" applyNumberFormat="1" applyFont="1" applyFill="1" applyBorder="1" applyAlignment="1">
      <alignment horizontal="center" vertical="center"/>
    </xf>
    <xf numFmtId="49" fontId="38" fillId="0" borderId="1" xfId="0" applyNumberFormat="1" applyFont="1" applyBorder="1" applyAlignment="1">
      <alignment horizontal="center" vertical="center"/>
    </xf>
    <xf numFmtId="49" fontId="38"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165" fontId="13" fillId="0" borderId="1" xfId="0" applyNumberFormat="1" applyFont="1" applyBorder="1" applyAlignment="1">
      <alignment horizontal="center" vertical="center"/>
    </xf>
    <xf numFmtId="164" fontId="3" fillId="0" borderId="1" xfId="0" applyNumberFormat="1" applyFont="1" applyBorder="1" applyAlignment="1">
      <alignment vertical="center"/>
    </xf>
    <xf numFmtId="164" fontId="1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5" fontId="3" fillId="0" borderId="0" xfId="0" applyNumberFormat="1" applyFont="1"/>
    <xf numFmtId="2" fontId="3" fillId="4" borderId="1" xfId="0" applyNumberFormat="1" applyFont="1" applyFill="1" applyBorder="1" applyAlignment="1">
      <alignment horizontal="center" vertical="center"/>
    </xf>
    <xf numFmtId="164" fontId="3" fillId="4" borderId="1" xfId="0" applyNumberFormat="1" applyFont="1" applyFill="1" applyBorder="1" applyAlignment="1">
      <alignment vertical="center"/>
    </xf>
    <xf numFmtId="164" fontId="3" fillId="4"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2" fontId="3" fillId="4" borderId="1" xfId="0" applyNumberFormat="1" applyFont="1" applyFill="1" applyBorder="1" applyAlignment="1">
      <alignment vertical="center"/>
    </xf>
    <xf numFmtId="2" fontId="3" fillId="0" borderId="1" xfId="0" applyNumberFormat="1" applyFont="1" applyBorder="1" applyAlignment="1">
      <alignment vertical="center"/>
    </xf>
    <xf numFmtId="2" fontId="13" fillId="0" borderId="1" xfId="0" applyNumberFormat="1" applyFont="1" applyBorder="1" applyAlignment="1">
      <alignment horizont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left" vertical="center" wrapText="1"/>
    </xf>
    <xf numFmtId="2" fontId="3" fillId="0" borderId="0" xfId="0" applyNumberFormat="1" applyFont="1"/>
    <xf numFmtId="49" fontId="13" fillId="4" borderId="1" xfId="0" applyNumberFormat="1" applyFont="1" applyFill="1" applyBorder="1" applyAlignment="1">
      <alignment horizontal="center" vertical="center"/>
    </xf>
    <xf numFmtId="49" fontId="13" fillId="4" borderId="1" xfId="0" applyNumberFormat="1" applyFont="1" applyFill="1" applyBorder="1" applyAlignment="1">
      <alignment horizontal="left" vertical="center" wrapText="1"/>
    </xf>
    <xf numFmtId="49" fontId="37" fillId="0" borderId="1" xfId="0" applyNumberFormat="1" applyFont="1" applyBorder="1" applyAlignment="1">
      <alignment horizontal="center" vertical="center"/>
    </xf>
    <xf numFmtId="49" fontId="37" fillId="0"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left" vertical="center" wrapText="1"/>
    </xf>
    <xf numFmtId="164" fontId="39" fillId="4" borderId="1" xfId="0" applyNumberFormat="1" applyFont="1" applyFill="1" applyBorder="1" applyAlignment="1">
      <alignment horizontal="center" vertical="center"/>
    </xf>
    <xf numFmtId="164" fontId="40" fillId="0" borderId="0" xfId="0" applyNumberFormat="1" applyFont="1" applyAlignment="1">
      <alignment horizontal="center"/>
    </xf>
    <xf numFmtId="164" fontId="39" fillId="0" borderId="1" xfId="0" applyNumberFormat="1" applyFont="1" applyBorder="1" applyAlignment="1">
      <alignment horizontal="center" vertical="center"/>
    </xf>
    <xf numFmtId="49" fontId="3" fillId="0" borderId="1" xfId="0" applyNumberFormat="1" applyFont="1" applyFill="1" applyBorder="1" applyAlignment="1">
      <alignment horizontal="left" vertical="center" wrapText="1"/>
    </xf>
    <xf numFmtId="2" fontId="38" fillId="4" borderId="1" xfId="0" applyNumberFormat="1" applyFont="1" applyFill="1" applyBorder="1" applyAlignment="1">
      <alignment horizontal="center" vertical="center"/>
    </xf>
    <xf numFmtId="164" fontId="38" fillId="4" borderId="1" xfId="0" applyNumberFormat="1" applyFont="1" applyFill="1" applyBorder="1" applyAlignment="1">
      <alignment horizontal="center" vertical="center"/>
    </xf>
    <xf numFmtId="164" fontId="3" fillId="0" borderId="1" xfId="0" applyNumberFormat="1" applyFont="1" applyBorder="1" applyAlignment="1">
      <alignment horizontal="center"/>
    </xf>
    <xf numFmtId="0" fontId="3" fillId="0" borderId="1" xfId="0" applyFont="1" applyBorder="1" applyAlignment="1">
      <alignment vertical="center"/>
    </xf>
    <xf numFmtId="0" fontId="3" fillId="4" borderId="1" xfId="0" applyFont="1" applyFill="1" applyBorder="1" applyAlignment="1">
      <alignment vertical="center"/>
    </xf>
    <xf numFmtId="0" fontId="3" fillId="4" borderId="1" xfId="0" applyFont="1" applyFill="1" applyBorder="1" applyAlignment="1">
      <alignment horizontal="center" vertical="center"/>
    </xf>
    <xf numFmtId="164" fontId="3" fillId="0" borderId="0" xfId="0" applyNumberFormat="1" applyFont="1"/>
    <xf numFmtId="164" fontId="13" fillId="0" borderId="0" xfId="0" applyNumberFormat="1" applyFont="1"/>
    <xf numFmtId="2" fontId="13" fillId="0" borderId="0" xfId="0" applyNumberFormat="1" applyFont="1"/>
    <xf numFmtId="49" fontId="21" fillId="5" borderId="8" xfId="0" applyNumberFormat="1" applyFont="1" applyFill="1" applyBorder="1" applyAlignment="1">
      <alignment horizontal="center"/>
    </xf>
    <xf numFmtId="0" fontId="21" fillId="5" borderId="1" xfId="0" applyFont="1" applyFill="1" applyBorder="1" applyAlignment="1">
      <alignment horizontal="center"/>
    </xf>
    <xf numFmtId="0" fontId="21" fillId="5" borderId="1" xfId="0" applyFont="1" applyFill="1" applyBorder="1" applyAlignment="1"/>
    <xf numFmtId="4" fontId="21" fillId="0" borderId="8" xfId="0" applyNumberFormat="1" applyFont="1" applyBorder="1" applyAlignment="1">
      <alignment horizontal="center"/>
    </xf>
    <xf numFmtId="4" fontId="21" fillId="5" borderId="1" xfId="0" applyNumberFormat="1" applyFont="1" applyFill="1" applyBorder="1" applyAlignment="1">
      <alignment horizontal="center"/>
    </xf>
    <xf numFmtId="4" fontId="7" fillId="0" borderId="8" xfId="0" applyNumberFormat="1" applyFont="1" applyBorder="1" applyAlignment="1">
      <alignment horizontal="center"/>
    </xf>
    <xf numFmtId="4" fontId="21" fillId="0" borderId="1" xfId="0" applyNumberFormat="1" applyFont="1" applyBorder="1" applyAlignment="1">
      <alignment horizontal="center"/>
    </xf>
    <xf numFmtId="4" fontId="7" fillId="0" borderId="1" xfId="0" applyNumberFormat="1" applyFont="1" applyBorder="1" applyAlignment="1"/>
    <xf numFmtId="4" fontId="21" fillId="0" borderId="0" xfId="0" applyNumberFormat="1" applyFont="1" applyBorder="1" applyAlignment="1"/>
    <xf numFmtId="4" fontId="7" fillId="0" borderId="0" xfId="0" applyNumberFormat="1" applyFont="1" applyBorder="1" applyAlignment="1"/>
    <xf numFmtId="4" fontId="7" fillId="3" borderId="8" xfId="0" applyNumberFormat="1" applyFont="1" applyFill="1" applyBorder="1" applyAlignment="1">
      <alignment horizontal="center"/>
    </xf>
    <xf numFmtId="49" fontId="7" fillId="3" borderId="18" xfId="0" applyNumberFormat="1" applyFont="1" applyFill="1" applyBorder="1" applyAlignment="1">
      <alignment horizontal="left" vertical="top" wrapText="1"/>
    </xf>
    <xf numFmtId="49" fontId="7" fillId="3" borderId="19" xfId="0" applyNumberFormat="1" applyFont="1" applyFill="1" applyBorder="1" applyAlignment="1">
      <alignment horizontal="left" vertical="top" wrapText="1"/>
    </xf>
    <xf numFmtId="49" fontId="7" fillId="3" borderId="20" xfId="0" applyNumberFormat="1" applyFont="1" applyFill="1" applyBorder="1" applyAlignment="1">
      <alignment horizontal="left" vertical="top" wrapText="1"/>
    </xf>
    <xf numFmtId="0" fontId="7" fillId="0" borderId="1"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9" fillId="0" borderId="0" xfId="0" applyFont="1"/>
    <xf numFmtId="0" fontId="0" fillId="0" borderId="0" xfId="0" applyFont="1"/>
    <xf numFmtId="4" fontId="0" fillId="0" borderId="0" xfId="0" applyNumberFormat="1"/>
    <xf numFmtId="4" fontId="29" fillId="0" borderId="0" xfId="0" applyNumberFormat="1" applyFont="1"/>
    <xf numFmtId="4" fontId="41" fillId="0" borderId="0" xfId="0" applyNumberFormat="1" applyFont="1"/>
    <xf numFmtId="4" fontId="41" fillId="6" borderId="0" xfId="0" applyNumberFormat="1" applyFont="1" applyFill="1"/>
    <xf numFmtId="0" fontId="29" fillId="7" borderId="0" xfId="0" applyFont="1" applyFill="1"/>
    <xf numFmtId="0" fontId="21" fillId="3" borderId="1" xfId="0" applyFont="1" applyFill="1" applyBorder="1" applyAlignment="1"/>
    <xf numFmtId="4" fontId="21" fillId="3" borderId="8" xfId="0" applyNumberFormat="1" applyFont="1" applyFill="1" applyBorder="1" applyAlignment="1">
      <alignment horizontal="center"/>
    </xf>
    <xf numFmtId="0" fontId="7" fillId="8" borderId="1" xfId="0" applyFont="1" applyFill="1" applyBorder="1" applyAlignment="1">
      <alignment horizontal="center"/>
    </xf>
    <xf numFmtId="0" fontId="0" fillId="8" borderId="0" xfId="0" applyFill="1"/>
    <xf numFmtId="0" fontId="0" fillId="8" borderId="0" xfId="0" applyFont="1" applyFill="1"/>
    <xf numFmtId="0" fontId="21" fillId="8" borderId="1" xfId="0" applyFont="1" applyFill="1" applyBorder="1" applyAlignment="1">
      <alignment horizontal="center"/>
    </xf>
    <xf numFmtId="4" fontId="29" fillId="8" borderId="0" xfId="0" applyNumberFormat="1" applyFont="1" applyFill="1"/>
    <xf numFmtId="0" fontId="21" fillId="0" borderId="1" xfId="0" applyFont="1" applyBorder="1" applyAlignment="1">
      <alignment horizontal="center" vertical="center"/>
    </xf>
    <xf numFmtId="4" fontId="5" fillId="0" borderId="8" xfId="0" applyNumberFormat="1" applyFont="1" applyBorder="1" applyAlignment="1">
      <alignment horizontal="center" vertical="center"/>
    </xf>
    <xf numFmtId="2" fontId="0" fillId="0" borderId="0" xfId="0" applyNumberFormat="1"/>
    <xf numFmtId="2" fontId="29" fillId="0" borderId="0" xfId="0" applyNumberFormat="1" applyFont="1"/>
    <xf numFmtId="4" fontId="0" fillId="0" borderId="0" xfId="0" applyNumberFormat="1" applyFont="1"/>
    <xf numFmtId="4" fontId="21" fillId="3" borderId="1" xfId="0" applyNumberFormat="1" applyFont="1" applyFill="1" applyBorder="1" applyAlignment="1">
      <alignment horizontal="center"/>
    </xf>
    <xf numFmtId="49" fontId="21" fillId="0" borderId="8" xfId="0" applyNumberFormat="1" applyFont="1" applyBorder="1" applyAlignment="1">
      <alignment horizontal="center" vertical="center"/>
    </xf>
    <xf numFmtId="0" fontId="21" fillId="0" borderId="8" xfId="0" applyFont="1" applyBorder="1" applyAlignment="1">
      <alignment horizontal="center" vertical="center"/>
    </xf>
    <xf numFmtId="0" fontId="7"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7" fillId="0" borderId="1" xfId="0" applyFont="1" applyBorder="1" applyAlignment="1">
      <alignment vertical="center"/>
    </xf>
    <xf numFmtId="4" fontId="5" fillId="0" borderId="1" xfId="0" applyNumberFormat="1" applyFont="1" applyBorder="1" applyAlignment="1">
      <alignment horizontal="center" vertical="center"/>
    </xf>
    <xf numFmtId="4" fontId="30" fillId="3" borderId="1"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 fontId="5" fillId="0" borderId="8"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14" fillId="0" borderId="1" xfId="0" applyNumberFormat="1" applyFont="1" applyBorder="1" applyAlignment="1">
      <alignment horizontal="center" vertical="center"/>
    </xf>
    <xf numFmtId="4" fontId="26" fillId="3" borderId="1" xfId="0" applyNumberFormat="1" applyFont="1" applyFill="1" applyBorder="1" applyAlignment="1">
      <alignment horizontal="center" vertical="center"/>
    </xf>
    <xf numFmtId="49" fontId="7" fillId="0" borderId="8" xfId="0" applyNumberFormat="1" applyFont="1" applyBorder="1" applyAlignment="1">
      <alignment horizontal="center" vertical="center"/>
    </xf>
    <xf numFmtId="0" fontId="7" fillId="0" borderId="8" xfId="0" applyFont="1" applyBorder="1" applyAlignment="1">
      <alignment horizontal="center"/>
    </xf>
    <xf numFmtId="49" fontId="21" fillId="3" borderId="8" xfId="0" applyNumberFormat="1" applyFont="1" applyFill="1" applyBorder="1" applyAlignment="1">
      <alignment horizontal="center"/>
    </xf>
    <xf numFmtId="0" fontId="7" fillId="3" borderId="8" xfId="0" applyFont="1" applyFill="1" applyBorder="1" applyAlignment="1">
      <alignment horizontal="center"/>
    </xf>
    <xf numFmtId="0" fontId="7" fillId="6" borderId="1" xfId="0" applyFont="1" applyFill="1" applyBorder="1" applyAlignment="1">
      <alignment horizontal="center"/>
    </xf>
    <xf numFmtId="4" fontId="26" fillId="9" borderId="1" xfId="0" applyNumberFormat="1" applyFont="1" applyFill="1" applyBorder="1" applyAlignment="1"/>
    <xf numFmtId="4" fontId="3" fillId="3" borderId="0" xfId="0" applyNumberFormat="1" applyFont="1" applyFill="1" applyBorder="1"/>
    <xf numFmtId="0" fontId="30" fillId="0" borderId="1" xfId="0" applyFont="1" applyBorder="1" applyAlignment="1">
      <alignment horizontal="center" vertical="center"/>
    </xf>
    <xf numFmtId="0" fontId="7" fillId="0" borderId="0" xfId="0" applyFont="1" applyAlignment="1">
      <alignment horizontal="left"/>
    </xf>
    <xf numFmtId="4" fontId="7" fillId="10" borderId="8" xfId="0" applyNumberFormat="1" applyFont="1" applyFill="1" applyBorder="1" applyAlignment="1">
      <alignment horizontal="center"/>
    </xf>
    <xf numFmtId="4" fontId="7" fillId="3" borderId="18" xfId="0" applyNumberFormat="1" applyFont="1" applyFill="1" applyBorder="1" applyAlignment="1">
      <alignment horizontal="center"/>
    </xf>
    <xf numFmtId="4" fontId="7" fillId="3" borderId="19" xfId="0" applyNumberFormat="1" applyFont="1" applyFill="1" applyBorder="1" applyAlignment="1">
      <alignment horizontal="center"/>
    </xf>
    <xf numFmtId="4" fontId="7" fillId="3" borderId="20" xfId="0" applyNumberFormat="1" applyFont="1" applyFill="1" applyBorder="1" applyAlignment="1">
      <alignment horizontal="center"/>
    </xf>
    <xf numFmtId="0" fontId="7" fillId="0" borderId="0" xfId="0" applyFont="1" applyAlignment="1">
      <alignment horizontal="left"/>
    </xf>
    <xf numFmtId="49" fontId="7" fillId="3" borderId="8" xfId="0" applyNumberFormat="1" applyFont="1" applyFill="1" applyBorder="1" applyAlignment="1">
      <alignment horizontal="center"/>
    </xf>
    <xf numFmtId="0" fontId="7" fillId="5" borderId="1" xfId="0" applyFont="1" applyFill="1" applyBorder="1" applyAlignment="1">
      <alignment horizontal="center"/>
    </xf>
    <xf numFmtId="4" fontId="30" fillId="5" borderId="1" xfId="0" applyNumberFormat="1" applyFont="1" applyFill="1" applyBorder="1" applyAlignment="1">
      <alignment horizontal="center" vertical="center"/>
    </xf>
    <xf numFmtId="4" fontId="3" fillId="12" borderId="0" xfId="0" applyNumberFormat="1" applyFont="1" applyFill="1" applyBorder="1"/>
    <xf numFmtId="4" fontId="44" fillId="0" borderId="0" xfId="0" applyNumberFormat="1" applyFont="1" applyBorder="1" applyAlignment="1"/>
    <xf numFmtId="49" fontId="7" fillId="0" borderId="24" xfId="0" applyNumberFormat="1" applyFont="1" applyBorder="1" applyAlignment="1">
      <alignment horizontal="center" vertical="top"/>
    </xf>
    <xf numFmtId="0" fontId="7" fillId="0" borderId="0" xfId="0" applyFont="1" applyAlignment="1">
      <alignment horizontal="left"/>
    </xf>
    <xf numFmtId="0" fontId="23" fillId="0" borderId="0" xfId="0" applyFont="1" applyAlignment="1">
      <alignment horizontal="left"/>
    </xf>
    <xf numFmtId="0" fontId="26" fillId="0" borderId="21" xfId="0" applyFont="1" applyFill="1" applyBorder="1" applyAlignment="1">
      <alignment horizontal="center" vertical="top" wrapText="1"/>
    </xf>
    <xf numFmtId="0" fontId="26" fillId="0" borderId="22" xfId="0" applyFont="1" applyFill="1" applyBorder="1" applyAlignment="1">
      <alignment horizontal="center" vertical="top" wrapText="1"/>
    </xf>
    <xf numFmtId="0" fontId="26" fillId="0" borderId="23" xfId="0" applyFont="1" applyFill="1" applyBorder="1" applyAlignment="1">
      <alignment horizontal="center" vertical="top" wrapText="1"/>
    </xf>
    <xf numFmtId="0" fontId="7" fillId="0" borderId="1" xfId="0" applyFont="1" applyBorder="1" applyAlignment="1">
      <alignment horizontal="left" wrapText="1"/>
    </xf>
    <xf numFmtId="0" fontId="21" fillId="0" borderId="1" xfId="0" applyFont="1" applyBorder="1" applyAlignment="1">
      <alignment horizontal="left" wrapText="1"/>
    </xf>
    <xf numFmtId="0" fontId="23" fillId="0" borderId="0" xfId="0" applyFont="1" applyAlignment="1">
      <alignment horizontal="left" wrapText="1"/>
    </xf>
    <xf numFmtId="0" fontId="4" fillId="0" borderId="0" xfId="0" applyFont="1" applyFill="1" applyAlignment="1">
      <alignment horizontal="right"/>
    </xf>
    <xf numFmtId="0" fontId="5"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29" fillId="0" borderId="0" xfId="0" applyFont="1" applyFill="1" applyBorder="1" applyAlignment="1">
      <alignment horizontal="center" vertical="top"/>
    </xf>
    <xf numFmtId="0" fontId="5" fillId="0" borderId="0" xfId="0" applyFont="1" applyFill="1" applyBorder="1" applyAlignment="1">
      <alignment horizontal="left"/>
    </xf>
    <xf numFmtId="0" fontId="1" fillId="0" borderId="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7" fillId="3" borderId="18" xfId="0" applyNumberFormat="1" applyFont="1" applyFill="1" applyBorder="1" applyAlignment="1">
      <alignment horizontal="left" wrapText="1"/>
    </xf>
    <xf numFmtId="49" fontId="7" fillId="3" borderId="19" xfId="0" applyNumberFormat="1" applyFont="1" applyFill="1" applyBorder="1" applyAlignment="1">
      <alignment horizontal="left" wrapText="1"/>
    </xf>
    <xf numFmtId="49" fontId="7" fillId="3" borderId="20" xfId="0" applyNumberFormat="1" applyFont="1" applyFill="1" applyBorder="1" applyAlignment="1">
      <alignment horizontal="left" wrapText="1"/>
    </xf>
    <xf numFmtId="0" fontId="1" fillId="0" borderId="0" xfId="0" applyFont="1" applyFill="1" applyAlignment="1">
      <alignment horizontal="center"/>
    </xf>
    <xf numFmtId="0" fontId="5" fillId="0" borderId="2" xfId="0" applyFont="1" applyFill="1" applyBorder="1" applyAlignment="1">
      <alignment horizontal="left" wrapText="1"/>
    </xf>
    <xf numFmtId="0" fontId="6" fillId="0" borderId="0" xfId="0" applyFont="1" applyFill="1" applyBorder="1" applyAlignment="1">
      <alignment horizont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3" fillId="0" borderId="0" xfId="0" applyFont="1" applyFill="1" applyBorder="1" applyAlignment="1">
      <alignment horizontal="center"/>
    </xf>
    <xf numFmtId="0" fontId="1" fillId="0" borderId="0" xfId="0" applyFont="1" applyFill="1" applyBorder="1" applyAlignment="1">
      <alignment horizontal="left" wrapText="1"/>
    </xf>
    <xf numFmtId="0" fontId="7" fillId="0" borderId="0" xfId="0" applyFont="1" applyFill="1" applyBorder="1" applyAlignment="1">
      <alignment horizontal="center" wrapText="1"/>
    </xf>
    <xf numFmtId="0" fontId="2" fillId="0" borderId="0" xfId="0" applyFont="1" applyFill="1" applyAlignment="1"/>
    <xf numFmtId="0" fontId="8" fillId="0" borderId="0" xfId="1" applyFont="1" applyFill="1" applyAlignment="1">
      <alignment horizontal="center"/>
    </xf>
    <xf numFmtId="0" fontId="3" fillId="0" borderId="0" xfId="0" applyFont="1" applyFill="1" applyAlignment="1">
      <alignment horizontal="center"/>
    </xf>
    <xf numFmtId="0" fontId="3" fillId="0" borderId="2" xfId="0" applyFont="1" applyFill="1" applyBorder="1" applyAlignment="1">
      <alignment horizontal="left" vertical="top" wrapText="1"/>
    </xf>
    <xf numFmtId="0" fontId="7" fillId="0" borderId="24" xfId="0" applyFont="1" applyFill="1" applyBorder="1" applyAlignment="1">
      <alignment horizontal="center" vertical="top" wrapText="1"/>
    </xf>
    <xf numFmtId="0" fontId="16" fillId="0" borderId="0" xfId="0" applyFont="1" applyFill="1" applyAlignment="1">
      <alignment horizontal="center"/>
    </xf>
    <xf numFmtId="0" fontId="17" fillId="0" borderId="0" xfId="0" applyFont="1" applyFill="1" applyAlignment="1">
      <alignment horizontal="center"/>
    </xf>
    <xf numFmtId="0" fontId="6" fillId="0" borderId="2" xfId="0" applyFont="1" applyFill="1" applyBorder="1" applyAlignment="1">
      <alignment horizont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7" fillId="0" borderId="0" xfId="0" applyFont="1" applyFill="1" applyBorder="1" applyAlignment="1">
      <alignment horizontal="center" vertical="top" wrapText="1"/>
    </xf>
    <xf numFmtId="0" fontId="4" fillId="0" borderId="0" xfId="0" applyFont="1" applyFill="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0" xfId="0" applyFont="1" applyFill="1" applyBorder="1" applyAlignment="1">
      <alignment vertical="top" wrapText="1"/>
    </xf>
    <xf numFmtId="0" fontId="7" fillId="0" borderId="18" xfId="0" applyFont="1" applyBorder="1" applyAlignment="1">
      <alignment horizontal="left" wrapText="1"/>
    </xf>
    <xf numFmtId="0" fontId="7" fillId="0" borderId="19" xfId="0" applyFont="1" applyBorder="1" applyAlignment="1">
      <alignment horizontal="left" wrapText="1"/>
    </xf>
    <xf numFmtId="0" fontId="7" fillId="0" borderId="20" xfId="0" applyFont="1" applyBorder="1" applyAlignment="1">
      <alignment horizontal="left" wrapText="1"/>
    </xf>
    <xf numFmtId="0" fontId="7" fillId="0" borderId="19" xfId="0" applyFont="1" applyFill="1" applyBorder="1"/>
    <xf numFmtId="0" fontId="7" fillId="0" borderId="20" xfId="0" applyFont="1" applyFill="1" applyBorder="1"/>
    <xf numFmtId="49" fontId="43" fillId="3" borderId="18" xfId="0" applyNumberFormat="1" applyFont="1" applyFill="1" applyBorder="1" applyAlignment="1">
      <alignment horizontal="left" vertical="center" wrapText="1"/>
    </xf>
    <xf numFmtId="49" fontId="43" fillId="3" borderId="19" xfId="0" applyNumberFormat="1" applyFont="1" applyFill="1" applyBorder="1" applyAlignment="1">
      <alignment horizontal="left" vertical="center" wrapText="1"/>
    </xf>
    <xf numFmtId="49" fontId="43" fillId="3" borderId="20" xfId="0" applyNumberFormat="1" applyFont="1" applyFill="1" applyBorder="1" applyAlignment="1">
      <alignment horizontal="left" vertical="center" wrapText="1"/>
    </xf>
    <xf numFmtId="49" fontId="7" fillId="3" borderId="18" xfId="0" applyNumberFormat="1" applyFont="1" applyFill="1" applyBorder="1" applyAlignment="1">
      <alignment horizontal="left" vertical="top" wrapText="1"/>
    </xf>
    <xf numFmtId="49" fontId="7" fillId="3" borderId="19" xfId="0" applyNumberFormat="1" applyFont="1" applyFill="1" applyBorder="1" applyAlignment="1">
      <alignment horizontal="left" vertical="top" wrapText="1"/>
    </xf>
    <xf numFmtId="49" fontId="7" fillId="3" borderId="20" xfId="0" applyNumberFormat="1" applyFont="1" applyFill="1" applyBorder="1" applyAlignment="1">
      <alignment horizontal="left" vertical="top" wrapText="1"/>
    </xf>
    <xf numFmtId="0" fontId="7" fillId="3" borderId="1" xfId="0" applyFont="1" applyFill="1" applyBorder="1" applyAlignment="1">
      <alignment horizontal="left" wrapText="1"/>
    </xf>
    <xf numFmtId="0" fontId="21" fillId="5" borderId="1" xfId="0" applyFont="1" applyFill="1" applyBorder="1" applyAlignment="1">
      <alignment horizontal="left" wrapText="1"/>
    </xf>
    <xf numFmtId="0" fontId="21" fillId="3" borderId="1" xfId="0" applyFont="1" applyFill="1" applyBorder="1" applyAlignment="1">
      <alignment horizontal="left" wrapText="1"/>
    </xf>
    <xf numFmtId="49" fontId="7" fillId="0" borderId="1" xfId="0" applyNumberFormat="1" applyFont="1" applyBorder="1" applyAlignment="1">
      <alignment horizontal="left" wrapText="1"/>
    </xf>
    <xf numFmtId="0" fontId="21" fillId="0" borderId="1" xfId="0" applyFont="1" applyBorder="1" applyAlignment="1">
      <alignment horizontal="left"/>
    </xf>
    <xf numFmtId="0" fontId="21" fillId="5" borderId="1" xfId="0" applyFont="1" applyFill="1" applyBorder="1" applyAlignment="1">
      <alignment horizontal="left"/>
    </xf>
    <xf numFmtId="0" fontId="7" fillId="0" borderId="1" xfId="0" applyFont="1" applyBorder="1" applyAlignment="1">
      <alignment horizontal="left"/>
    </xf>
    <xf numFmtId="0" fontId="7" fillId="3" borderId="18" xfId="0" applyFont="1" applyFill="1" applyBorder="1" applyAlignment="1">
      <alignment horizontal="left" wrapText="1"/>
    </xf>
    <xf numFmtId="0" fontId="7" fillId="3" borderId="19" xfId="0" applyFont="1" applyFill="1" applyBorder="1" applyAlignment="1">
      <alignment horizontal="left" wrapText="1"/>
    </xf>
    <xf numFmtId="0" fontId="7" fillId="3" borderId="20" xfId="0" applyFont="1" applyFill="1" applyBorder="1" applyAlignment="1">
      <alignment horizontal="left" wrapText="1"/>
    </xf>
    <xf numFmtId="49" fontId="7" fillId="0" borderId="18" xfId="0" applyNumberFormat="1" applyFont="1" applyBorder="1" applyAlignment="1">
      <alignment horizontal="left" wrapText="1"/>
    </xf>
    <xf numFmtId="49" fontId="7" fillId="0" borderId="19" xfId="0" applyNumberFormat="1" applyFont="1" applyBorder="1" applyAlignment="1">
      <alignment horizontal="left" wrapText="1"/>
    </xf>
    <xf numFmtId="49" fontId="7" fillId="0" borderId="20" xfId="0" applyNumberFormat="1" applyFont="1" applyBorder="1" applyAlignment="1">
      <alignment horizontal="left" wrapText="1"/>
    </xf>
    <xf numFmtId="0" fontId="23" fillId="0" borderId="0" xfId="0" applyFont="1" applyAlignment="1">
      <alignment horizontal="justify"/>
    </xf>
    <xf numFmtId="0" fontId="25" fillId="0" borderId="0" xfId="0" applyFont="1" applyAlignment="1">
      <alignment horizontal="justify"/>
    </xf>
    <xf numFmtId="0" fontId="7" fillId="0" borderId="12" xfId="0" applyFont="1" applyBorder="1" applyAlignment="1">
      <alignment horizontal="right"/>
    </xf>
    <xf numFmtId="0" fontId="7" fillId="0" borderId="0" xfId="0" applyFont="1" applyAlignment="1">
      <alignment horizontal="right"/>
    </xf>
    <xf numFmtId="49" fontId="7" fillId="0" borderId="2" xfId="0" applyNumberFormat="1" applyFont="1" applyBorder="1" applyAlignment="1">
      <alignment horizontal="center"/>
    </xf>
    <xf numFmtId="0" fontId="7" fillId="0" borderId="0" xfId="0" applyFont="1" applyAlignment="1">
      <alignment horizontal="left"/>
    </xf>
    <xf numFmtId="49" fontId="7" fillId="0" borderId="2" xfId="0" applyNumberFormat="1" applyFont="1" applyBorder="1" applyAlignment="1">
      <alignment horizontal="left"/>
    </xf>
    <xf numFmtId="0" fontId="7" fillId="0" borderId="54" xfId="0" applyFont="1" applyBorder="1" applyAlignment="1">
      <alignment horizontal="center"/>
    </xf>
    <xf numFmtId="0" fontId="7" fillId="0" borderId="2" xfId="0" applyFont="1" applyBorder="1" applyAlignment="1">
      <alignment horizontal="center"/>
    </xf>
    <xf numFmtId="0" fontId="7" fillId="0" borderId="55" xfId="0" applyFont="1" applyBorder="1" applyAlignment="1">
      <alignment horizontal="center"/>
    </xf>
    <xf numFmtId="0" fontId="27" fillId="0" borderId="56" xfId="0" applyFont="1" applyBorder="1" applyAlignment="1">
      <alignment horizontal="center" vertical="top"/>
    </xf>
    <xf numFmtId="0" fontId="27" fillId="0" borderId="24" xfId="0" applyFont="1" applyBorder="1" applyAlignment="1">
      <alignment horizontal="center" vertical="top"/>
    </xf>
    <xf numFmtId="0" fontId="27" fillId="0" borderId="57" xfId="0" applyFont="1" applyBorder="1" applyAlignment="1">
      <alignment horizontal="center" vertical="top"/>
    </xf>
    <xf numFmtId="0" fontId="23" fillId="0" borderId="0" xfId="0" applyFont="1" applyAlignment="1">
      <alignment horizontal="justify" vertical="top"/>
    </xf>
    <xf numFmtId="0" fontId="25" fillId="0" borderId="0" xfId="0" applyFont="1" applyAlignment="1">
      <alignment horizontal="justify" vertical="top"/>
    </xf>
    <xf numFmtId="0" fontId="23" fillId="0" borderId="0" xfId="0" applyFont="1" applyAlignment="1">
      <alignment horizontal="justify" wrapText="1"/>
    </xf>
    <xf numFmtId="0" fontId="27" fillId="0" borderId="0" xfId="0" applyFont="1" applyAlignment="1">
      <alignment horizontal="center"/>
    </xf>
    <xf numFmtId="0" fontId="7" fillId="0" borderId="2" xfId="0" applyFont="1" applyBorder="1" applyAlignment="1">
      <alignment horizontal="center" wrapText="1" shrinkToFit="1"/>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7" fillId="0" borderId="19" xfId="0" applyFont="1" applyBorder="1" applyAlignment="1">
      <alignment horizontal="left"/>
    </xf>
    <xf numFmtId="49" fontId="7" fillId="0" borderId="44" xfId="0" applyNumberFormat="1" applyFont="1" applyBorder="1" applyAlignment="1">
      <alignment horizontal="center"/>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0" xfId="0" applyNumberFormat="1" applyFont="1" applyBorder="1" applyAlignment="1">
      <alignment horizontal="center"/>
    </xf>
    <xf numFmtId="49" fontId="7" fillId="0" borderId="35" xfId="0" applyNumberFormat="1" applyFont="1" applyBorder="1" applyAlignment="1">
      <alignment horizontal="center"/>
    </xf>
    <xf numFmtId="49" fontId="7" fillId="0" borderId="24" xfId="0" applyNumberFormat="1" applyFont="1" applyBorder="1" applyAlignment="1">
      <alignment horizontal="center"/>
    </xf>
    <xf numFmtId="49" fontId="7" fillId="0" borderId="34"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0" fontId="7" fillId="0" borderId="35" xfId="0" applyFont="1" applyBorder="1" applyAlignment="1">
      <alignment horizontal="left" wrapText="1" indent="4"/>
    </xf>
    <xf numFmtId="0" fontId="7" fillId="0" borderId="24" xfId="0" applyFont="1" applyBorder="1" applyAlignment="1">
      <alignment horizontal="left" indent="4"/>
    </xf>
    <xf numFmtId="0" fontId="7" fillId="0" borderId="49" xfId="0" applyFont="1" applyBorder="1" applyAlignment="1">
      <alignment horizontal="left" indent="4"/>
    </xf>
    <xf numFmtId="49" fontId="7" fillId="0" borderId="5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52" xfId="0" applyNumberFormat="1" applyFont="1" applyBorder="1" applyAlignment="1">
      <alignment horizontal="center"/>
    </xf>
    <xf numFmtId="49" fontId="7" fillId="0" borderId="53" xfId="0" applyNumberFormat="1" applyFont="1" applyBorder="1" applyAlignment="1">
      <alignment horizontal="center"/>
    </xf>
    <xf numFmtId="4" fontId="7" fillId="0" borderId="35" xfId="0" applyNumberFormat="1" applyFont="1" applyBorder="1" applyAlignment="1">
      <alignment horizontal="center"/>
    </xf>
    <xf numFmtId="4" fontId="7" fillId="0" borderId="24" xfId="0" applyNumberFormat="1" applyFont="1" applyBorder="1" applyAlignment="1">
      <alignment horizontal="center"/>
    </xf>
    <xf numFmtId="4" fontId="7" fillId="0" borderId="34" xfId="0" applyNumberFormat="1" applyFont="1" applyBorder="1" applyAlignment="1">
      <alignment horizontal="center"/>
    </xf>
    <xf numFmtId="4" fontId="7" fillId="0" borderId="53" xfId="0" applyNumberFormat="1" applyFont="1" applyBorder="1" applyAlignment="1">
      <alignment horizontal="center"/>
    </xf>
    <xf numFmtId="4" fontId="7" fillId="0" borderId="32" xfId="0" applyNumberFormat="1" applyFont="1" applyBorder="1" applyAlignment="1">
      <alignment horizontal="center"/>
    </xf>
    <xf numFmtId="4" fontId="7" fillId="0" borderId="52" xfId="0" applyNumberFormat="1" applyFont="1" applyBorder="1" applyAlignment="1">
      <alignment horizontal="center"/>
    </xf>
    <xf numFmtId="0" fontId="7" fillId="0" borderId="38" xfId="0" applyFont="1" applyBorder="1" applyAlignment="1">
      <alignment horizontal="left" wrapText="1" indent="4"/>
    </xf>
    <xf numFmtId="0" fontId="7" fillId="0" borderId="2" xfId="0" applyFont="1" applyBorder="1" applyAlignment="1">
      <alignment horizontal="left" indent="4"/>
    </xf>
    <xf numFmtId="49" fontId="7" fillId="0" borderId="51" xfId="0" applyNumberFormat="1" applyFont="1" applyBorder="1" applyAlignment="1">
      <alignment horizontal="center"/>
    </xf>
    <xf numFmtId="4" fontId="7" fillId="0" borderId="38" xfId="0" applyNumberFormat="1" applyFont="1" applyBorder="1" applyAlignment="1">
      <alignment horizontal="center"/>
    </xf>
    <xf numFmtId="4" fontId="7" fillId="0" borderId="2" xfId="0" applyNumberFormat="1" applyFont="1" applyBorder="1" applyAlignment="1">
      <alignment horizontal="center"/>
    </xf>
    <xf numFmtId="4" fontId="7" fillId="0" borderId="39" xfId="0" applyNumberFormat="1" applyFont="1" applyBorder="1" applyAlignment="1">
      <alignment horizontal="center"/>
    </xf>
    <xf numFmtId="0" fontId="7" fillId="0" borderId="18" xfId="0" applyFont="1" applyBorder="1" applyAlignment="1">
      <alignment horizontal="left" wrapText="1" indent="3"/>
    </xf>
    <xf numFmtId="0" fontId="7" fillId="0" borderId="19" xfId="0" applyFont="1" applyBorder="1" applyAlignment="1">
      <alignment horizontal="left" indent="3"/>
    </xf>
    <xf numFmtId="49" fontId="7" fillId="0" borderId="45" xfId="0" applyNumberFormat="1" applyFont="1" applyBorder="1" applyAlignment="1">
      <alignment horizontal="center"/>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 fontId="21" fillId="0" borderId="18" xfId="0" applyNumberFormat="1" applyFont="1" applyBorder="1" applyAlignment="1">
      <alignment horizontal="center"/>
    </xf>
    <xf numFmtId="4" fontId="21" fillId="0" borderId="19" xfId="0" applyNumberFormat="1" applyFont="1" applyBorder="1" applyAlignment="1">
      <alignment horizontal="center"/>
    </xf>
    <xf numFmtId="4" fontId="21" fillId="0" borderId="20" xfId="0" applyNumberFormat="1" applyFont="1" applyBorder="1" applyAlignment="1">
      <alignment horizontal="center"/>
    </xf>
    <xf numFmtId="4" fontId="7" fillId="0" borderId="48" xfId="0" applyNumberFormat="1" applyFont="1" applyBorder="1" applyAlignment="1">
      <alignment horizontal="center"/>
    </xf>
    <xf numFmtId="4" fontId="7" fillId="0" borderId="46" xfId="0" applyNumberFormat="1" applyFont="1" applyBorder="1" applyAlignment="1">
      <alignment horizontal="center"/>
    </xf>
    <xf numFmtId="4" fontId="7" fillId="0" borderId="47"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7" fillId="0" borderId="43" xfId="0" applyNumberFormat="1" applyFont="1" applyBorder="1" applyAlignment="1">
      <alignment horizontal="center"/>
    </xf>
    <xf numFmtId="4" fontId="7" fillId="0" borderId="41" xfId="0" applyNumberFormat="1" applyFont="1" applyBorder="1" applyAlignment="1">
      <alignment horizontal="center"/>
    </xf>
    <xf numFmtId="4" fontId="7" fillId="0" borderId="42" xfId="0" applyNumberFormat="1" applyFont="1" applyBorder="1" applyAlignment="1">
      <alignment horizontal="center"/>
    </xf>
    <xf numFmtId="0" fontId="7" fillId="0" borderId="18" xfId="0" applyFont="1" applyBorder="1" applyAlignment="1">
      <alignment horizontal="left" wrapText="1" indent="2"/>
    </xf>
    <xf numFmtId="0" fontId="7" fillId="0" borderId="19" xfId="0" applyFont="1" applyBorder="1" applyAlignment="1">
      <alignment horizontal="left" indent="2"/>
    </xf>
    <xf numFmtId="0" fontId="7" fillId="0" borderId="19" xfId="0" applyFont="1" applyBorder="1" applyAlignment="1">
      <alignment horizontal="left" wrapText="1" indent="3"/>
    </xf>
    <xf numFmtId="0" fontId="7" fillId="0" borderId="60" xfId="0" applyFont="1" applyBorder="1" applyAlignment="1">
      <alignment horizontal="left" wrapText="1" indent="3"/>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60" xfId="0" applyFont="1" applyBorder="1" applyAlignment="1">
      <alignment horizontal="center" wrapText="1"/>
    </xf>
    <xf numFmtId="4" fontId="7" fillId="3" borderId="18" xfId="0" applyNumberFormat="1" applyFont="1" applyFill="1" applyBorder="1" applyAlignment="1">
      <alignment horizontal="center"/>
    </xf>
    <xf numFmtId="4" fontId="7" fillId="3" borderId="19" xfId="0" applyNumberFormat="1" applyFont="1" applyFill="1" applyBorder="1" applyAlignment="1">
      <alignment horizontal="center"/>
    </xf>
    <xf numFmtId="4" fontId="7" fillId="3" borderId="20" xfId="0" applyNumberFormat="1" applyFont="1" applyFill="1" applyBorder="1" applyAlignment="1">
      <alignment horizontal="center"/>
    </xf>
    <xf numFmtId="0" fontId="7" fillId="0" borderId="18" xfId="0" applyFont="1" applyBorder="1" applyAlignment="1">
      <alignment horizontal="left" wrapText="1" indent="1"/>
    </xf>
    <xf numFmtId="0" fontId="7" fillId="0" borderId="19" xfId="0" applyFont="1" applyBorder="1" applyAlignment="1">
      <alignment horizontal="left" indent="1"/>
    </xf>
    <xf numFmtId="0" fontId="7" fillId="0" borderId="19" xfId="0" applyFont="1" applyBorder="1" applyAlignment="1">
      <alignment horizontal="left" wrapText="1" indent="1"/>
    </xf>
    <xf numFmtId="0" fontId="7" fillId="0" borderId="60" xfId="0" applyFont="1" applyBorder="1" applyAlignment="1">
      <alignment horizontal="left" wrapText="1" indent="1"/>
    </xf>
    <xf numFmtId="0" fontId="21" fillId="0" borderId="0" xfId="0" applyFont="1" applyAlignment="1">
      <alignment horizontal="center"/>
    </xf>
    <xf numFmtId="0" fontId="7" fillId="0" borderId="3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4"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center" vertical="center"/>
    </xf>
    <xf numFmtId="0" fontId="7" fillId="0" borderId="39" xfId="0" applyFont="1" applyBorder="1" applyAlignment="1">
      <alignment horizontal="center" vertical="center"/>
    </xf>
    <xf numFmtId="0" fontId="7" fillId="0" borderId="0" xfId="0" applyFont="1" applyAlignment="1">
      <alignment horizontal="center" vertical="center" wrapText="1"/>
    </xf>
    <xf numFmtId="0" fontId="7" fillId="0" borderId="35" xfId="0" applyFont="1" applyBorder="1" applyAlignment="1">
      <alignment horizontal="right"/>
    </xf>
    <xf numFmtId="0" fontId="7" fillId="0" borderId="24" xfId="0" applyFont="1" applyBorder="1" applyAlignment="1">
      <alignment horizontal="right"/>
    </xf>
    <xf numFmtId="49" fontId="7" fillId="0" borderId="19" xfId="0" applyNumberFormat="1" applyFont="1" applyBorder="1" applyAlignment="1">
      <alignment horizontal="left"/>
    </xf>
    <xf numFmtId="0" fontId="7" fillId="0" borderId="24" xfId="0" applyFont="1" applyBorder="1" applyAlignment="1">
      <alignment horizontal="left"/>
    </xf>
    <xf numFmtId="0" fontId="7" fillId="0" borderId="34" xfId="0" applyFont="1" applyBorder="1" applyAlignment="1">
      <alignment horizontal="left"/>
    </xf>
    <xf numFmtId="0" fontId="7" fillId="0" borderId="38" xfId="0" applyFont="1" applyBorder="1" applyAlignment="1">
      <alignment horizontal="center" vertical="top" wrapText="1"/>
    </xf>
    <xf numFmtId="0" fontId="7" fillId="0" borderId="2" xfId="0" applyFont="1" applyBorder="1" applyAlignment="1">
      <alignment horizontal="center" vertical="top" wrapText="1"/>
    </xf>
    <xf numFmtId="0" fontId="7" fillId="0" borderId="39" xfId="0" applyFont="1" applyBorder="1" applyAlignment="1">
      <alignment horizontal="center" vertical="top"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49" fontId="7" fillId="0" borderId="18" xfId="0" applyNumberFormat="1" applyFont="1" applyBorder="1" applyAlignment="1">
      <alignment horizontal="center" vertical="top"/>
    </xf>
    <xf numFmtId="49" fontId="7" fillId="0" borderId="19" xfId="0" applyNumberFormat="1" applyFont="1" applyBorder="1" applyAlignment="1">
      <alignment horizontal="center" vertical="top"/>
    </xf>
    <xf numFmtId="49" fontId="7" fillId="0" borderId="20" xfId="0" applyNumberFormat="1" applyFont="1" applyBorder="1" applyAlignment="1">
      <alignment horizontal="center" vertical="top"/>
    </xf>
    <xf numFmtId="49" fontId="7" fillId="0" borderId="35" xfId="0" applyNumberFormat="1" applyFont="1" applyBorder="1" applyAlignment="1">
      <alignment horizontal="center" vertical="top"/>
    </xf>
    <xf numFmtId="49" fontId="7" fillId="0" borderId="24" xfId="0" applyNumberFormat="1" applyFont="1" applyBorder="1" applyAlignment="1">
      <alignment horizontal="center" vertical="top"/>
    </xf>
    <xf numFmtId="49" fontId="7" fillId="0" borderId="34" xfId="0" applyNumberFormat="1" applyFont="1" applyBorder="1" applyAlignment="1">
      <alignment horizontal="center" vertical="top"/>
    </xf>
    <xf numFmtId="49" fontId="21" fillId="0" borderId="35" xfId="0" applyNumberFormat="1" applyFont="1" applyBorder="1" applyAlignment="1">
      <alignment horizontal="center" vertical="top"/>
    </xf>
    <xf numFmtId="49" fontId="21" fillId="0" borderId="24" xfId="0" applyNumberFormat="1" applyFont="1" applyBorder="1" applyAlignment="1">
      <alignment horizontal="center" vertical="top"/>
    </xf>
    <xf numFmtId="49" fontId="21" fillId="0" borderId="34" xfId="0" applyNumberFormat="1" applyFont="1" applyBorder="1" applyAlignment="1">
      <alignment horizontal="center" vertical="top"/>
    </xf>
    <xf numFmtId="49" fontId="21" fillId="0" borderId="18" xfId="0" applyNumberFormat="1" applyFont="1" applyBorder="1" applyAlignment="1">
      <alignment horizontal="center"/>
    </xf>
    <xf numFmtId="49" fontId="21" fillId="0" borderId="19" xfId="0" applyNumberFormat="1" applyFont="1" applyBorder="1" applyAlignment="1">
      <alignment horizontal="center"/>
    </xf>
    <xf numFmtId="49" fontId="21" fillId="0" borderId="20" xfId="0" applyNumberFormat="1" applyFont="1" applyBorder="1" applyAlignment="1">
      <alignment horizontal="center"/>
    </xf>
    <xf numFmtId="0" fontId="21" fillId="0" borderId="18" xfId="0" applyFont="1" applyBorder="1" applyAlignment="1">
      <alignment horizontal="left"/>
    </xf>
    <xf numFmtId="0" fontId="21" fillId="0" borderId="19" xfId="0" applyFont="1" applyBorder="1" applyAlignment="1">
      <alignment horizontal="left"/>
    </xf>
    <xf numFmtId="49" fontId="21" fillId="0" borderId="40" xfId="0" applyNumberFormat="1" applyFont="1" applyBorder="1" applyAlignment="1">
      <alignment horizontal="center"/>
    </xf>
    <xf numFmtId="49" fontId="21" fillId="0" borderId="41" xfId="0" applyNumberFormat="1" applyFont="1" applyBorder="1" applyAlignment="1">
      <alignment horizontal="center"/>
    </xf>
    <xf numFmtId="49" fontId="21" fillId="0" borderId="42" xfId="0" applyNumberFormat="1" applyFont="1" applyBorder="1" applyAlignment="1">
      <alignment horizontal="center"/>
    </xf>
    <xf numFmtId="4" fontId="21" fillId="0" borderId="43" xfId="0" applyNumberFormat="1" applyFont="1" applyBorder="1" applyAlignment="1">
      <alignment horizontal="center"/>
    </xf>
    <xf numFmtId="4" fontId="21" fillId="0" borderId="41" xfId="0" applyNumberFormat="1" applyFont="1" applyBorder="1" applyAlignment="1">
      <alignment horizontal="center"/>
    </xf>
    <xf numFmtId="4" fontId="21" fillId="0" borderId="42" xfId="0" applyNumberFormat="1" applyFont="1" applyBorder="1" applyAlignment="1">
      <alignment horizontal="center"/>
    </xf>
    <xf numFmtId="0" fontId="7" fillId="0" borderId="24" xfId="0" applyFont="1" applyBorder="1" applyAlignment="1">
      <alignment horizontal="left" wrapText="1" indent="4"/>
    </xf>
    <xf numFmtId="0" fontId="7" fillId="0" borderId="49" xfId="0" applyFont="1" applyBorder="1" applyAlignment="1">
      <alignment horizontal="left" wrapText="1" indent="4"/>
    </xf>
    <xf numFmtId="0" fontId="7" fillId="0" borderId="2" xfId="0" applyFont="1" applyBorder="1" applyAlignment="1">
      <alignment horizontal="left" wrapText="1" indent="4"/>
    </xf>
    <xf numFmtId="0" fontId="7" fillId="0" borderId="61" xfId="0" applyFont="1" applyBorder="1" applyAlignment="1">
      <alignment horizontal="left" wrapText="1" indent="4"/>
    </xf>
    <xf numFmtId="0" fontId="7" fillId="0" borderId="19" xfId="0" applyFont="1" applyBorder="1" applyAlignment="1">
      <alignment horizontal="left" wrapText="1" indent="2"/>
    </xf>
    <xf numFmtId="0" fontId="7" fillId="0" borderId="60" xfId="0" applyFont="1" applyBorder="1" applyAlignment="1">
      <alignment horizontal="left" wrapText="1" indent="2"/>
    </xf>
    <xf numFmtId="49" fontId="7" fillId="0" borderId="46" xfId="0" applyNumberFormat="1" applyFont="1" applyBorder="1" applyAlignment="1">
      <alignment horizontal="center" vertical="top"/>
    </xf>
    <xf numFmtId="49" fontId="7" fillId="0" borderId="47" xfId="0" applyNumberFormat="1" applyFont="1" applyBorder="1" applyAlignment="1">
      <alignment horizontal="center" vertical="top"/>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21" fillId="0" borderId="1" xfId="0" applyNumberFormat="1" applyFont="1" applyBorder="1" applyAlignment="1">
      <alignment horizontal="left" wrapText="1"/>
    </xf>
    <xf numFmtId="0" fontId="6" fillId="0" borderId="0" xfId="0" applyFont="1" applyFill="1"/>
    <xf numFmtId="0" fontId="6" fillId="0" borderId="32" xfId="0" applyFont="1" applyFill="1" applyBorder="1" applyAlignment="1">
      <alignment horizontal="left" vertical="center" wrapText="1"/>
    </xf>
    <xf numFmtId="0" fontId="5" fillId="0" borderId="26"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33" xfId="0" applyFont="1" applyFill="1" applyBorder="1" applyAlignment="1">
      <alignment horizontal="center" vertical="top"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1" borderId="21" xfId="0" applyFont="1" applyFill="1" applyBorder="1" applyAlignment="1">
      <alignment horizontal="center" vertical="center" wrapText="1"/>
    </xf>
    <xf numFmtId="0" fontId="1" fillId="11" borderId="22" xfId="0" applyFont="1" applyFill="1" applyBorder="1" applyAlignment="1">
      <alignment horizontal="center" vertical="center" wrapText="1"/>
    </xf>
    <xf numFmtId="0" fontId="1" fillId="11" borderId="23" xfId="0" applyFont="1" applyFill="1" applyBorder="1" applyAlignment="1">
      <alignment horizontal="center" vertical="center" wrapText="1"/>
    </xf>
    <xf numFmtId="49" fontId="7" fillId="5" borderId="1" xfId="0" applyNumberFormat="1" applyFont="1" applyFill="1" applyBorder="1" applyAlignment="1">
      <alignment horizontal="left" wrapText="1"/>
    </xf>
    <xf numFmtId="49" fontId="7" fillId="3" borderId="1" xfId="0" applyNumberFormat="1" applyFont="1" applyFill="1" applyBorder="1" applyAlignment="1">
      <alignment horizontal="left" wrapText="1"/>
    </xf>
    <xf numFmtId="49" fontId="7" fillId="5" borderId="18" xfId="0" applyNumberFormat="1" applyFont="1" applyFill="1" applyBorder="1" applyAlignment="1">
      <alignment horizontal="left" wrapText="1"/>
    </xf>
    <xf numFmtId="49" fontId="7" fillId="5" borderId="19" xfId="0" applyNumberFormat="1" applyFont="1" applyFill="1" applyBorder="1" applyAlignment="1">
      <alignment horizontal="left" wrapText="1"/>
    </xf>
    <xf numFmtId="49" fontId="7" fillId="5" borderId="20" xfId="0" applyNumberFormat="1" applyFont="1" applyFill="1" applyBorder="1" applyAlignment="1">
      <alignment horizontal="left" wrapText="1"/>
    </xf>
    <xf numFmtId="49" fontId="1" fillId="3" borderId="18" xfId="0" applyNumberFormat="1" applyFont="1" applyFill="1" applyBorder="1" applyAlignment="1">
      <alignment horizontal="left" vertical="top" wrapText="1"/>
    </xf>
    <xf numFmtId="49" fontId="1" fillId="3" borderId="19" xfId="0" applyNumberFormat="1" applyFont="1" applyFill="1" applyBorder="1" applyAlignment="1">
      <alignment horizontal="left" vertical="top" wrapText="1"/>
    </xf>
    <xf numFmtId="49" fontId="1" fillId="3" borderId="20" xfId="0" applyNumberFormat="1" applyFont="1" applyFill="1" applyBorder="1" applyAlignment="1">
      <alignment horizontal="left" vertical="top" wrapText="1"/>
    </xf>
    <xf numFmtId="49" fontId="21" fillId="0" borderId="1" xfId="0" applyNumberFormat="1" applyFont="1" applyBorder="1" applyAlignment="1">
      <alignment horizontal="center" vertical="center" wrapText="1"/>
    </xf>
    <xf numFmtId="49" fontId="7" fillId="5" borderId="18" xfId="0" applyNumberFormat="1" applyFont="1" applyFill="1" applyBorder="1" applyAlignment="1">
      <alignment wrapText="1"/>
    </xf>
    <xf numFmtId="49" fontId="7" fillId="5" borderId="19" xfId="0" applyNumberFormat="1" applyFont="1" applyFill="1" applyBorder="1" applyAlignment="1">
      <alignment wrapText="1"/>
    </xf>
    <xf numFmtId="49" fontId="7" fillId="5" borderId="20" xfId="0" applyNumberFormat="1" applyFont="1" applyFill="1" applyBorder="1" applyAlignment="1">
      <alignment wrapText="1"/>
    </xf>
    <xf numFmtId="0" fontId="1" fillId="0" borderId="0" xfId="1" applyFont="1" applyBorder="1" applyAlignment="1">
      <alignment horizontal="center" vertical="top"/>
    </xf>
    <xf numFmtId="0" fontId="1" fillId="0" borderId="24" xfId="1" applyFont="1" applyBorder="1" applyAlignment="1">
      <alignment horizontal="center" vertical="top"/>
    </xf>
    <xf numFmtId="49" fontId="21" fillId="3" borderId="1" xfId="0" applyNumberFormat="1" applyFont="1" applyFill="1" applyBorder="1" applyAlignment="1">
      <alignment horizontal="left" wrapText="1"/>
    </xf>
    <xf numFmtId="0" fontId="1" fillId="0" borderId="0" xfId="1" applyFont="1" applyBorder="1" applyAlignment="1">
      <alignment horizontal="center" vertical="center"/>
    </xf>
    <xf numFmtId="0" fontId="1" fillId="0" borderId="0" xfId="1" applyFont="1" applyAlignment="1">
      <alignment horizontal="center" vertical="center"/>
    </xf>
    <xf numFmtId="0" fontId="1" fillId="0" borderId="24" xfId="1" applyFont="1" applyBorder="1" applyAlignment="1">
      <alignment horizontal="center" vertical="center"/>
    </xf>
    <xf numFmtId="0" fontId="7" fillId="0" borderId="0" xfId="0" applyFont="1" applyBorder="1" applyAlignment="1">
      <alignment horizontal="center" wrapText="1"/>
    </xf>
    <xf numFmtId="0" fontId="1" fillId="0" borderId="24" xfId="1" applyFont="1" applyBorder="1" applyAlignment="1">
      <alignment horizontal="left"/>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49" fontId="1" fillId="0" borderId="21" xfId="0" applyNumberFormat="1" applyFont="1" applyFill="1" applyBorder="1" applyAlignment="1">
      <alignment horizontal="center" vertical="top" wrapText="1"/>
    </xf>
    <xf numFmtId="49" fontId="1" fillId="0" borderId="22" xfId="0" applyNumberFormat="1" applyFont="1" applyFill="1" applyBorder="1" applyAlignment="1">
      <alignment horizontal="center" vertical="top" wrapText="1"/>
    </xf>
    <xf numFmtId="49" fontId="1" fillId="0" borderId="23" xfId="0" applyNumberFormat="1" applyFont="1" applyFill="1" applyBorder="1" applyAlignment="1">
      <alignment horizontal="center" vertical="top" wrapText="1"/>
    </xf>
    <xf numFmtId="0" fontId="6" fillId="0" borderId="0" xfId="0" applyFont="1" applyFill="1" applyBorder="1" applyAlignment="1">
      <alignment horizontal="center" wrapText="1"/>
    </xf>
    <xf numFmtId="0" fontId="28" fillId="0" borderId="32" xfId="0" applyFont="1" applyFill="1" applyBorder="1" applyAlignment="1">
      <alignment horizontal="left" vertical="center" wrapText="1"/>
    </xf>
    <xf numFmtId="0" fontId="1" fillId="0" borderId="6"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7" borderId="21" xfId="0" applyFont="1" applyFill="1" applyBorder="1" applyAlignment="1">
      <alignment horizontal="center" vertical="top" wrapText="1"/>
    </xf>
    <xf numFmtId="0" fontId="1" fillId="7" borderId="22" xfId="0" applyFont="1" applyFill="1" applyBorder="1" applyAlignment="1">
      <alignment horizontal="center" vertical="top" wrapText="1"/>
    </xf>
    <xf numFmtId="0" fontId="1" fillId="7" borderId="23" xfId="0" applyFont="1" applyFill="1" applyBorder="1" applyAlignment="1">
      <alignment horizontal="center" vertical="top" wrapText="1"/>
    </xf>
    <xf numFmtId="0" fontId="1" fillId="9" borderId="21" xfId="0" applyFont="1" applyFill="1" applyBorder="1" applyAlignment="1">
      <alignment horizontal="center" vertical="top" wrapText="1"/>
    </xf>
    <xf numFmtId="0" fontId="1" fillId="9" borderId="22" xfId="0" applyFont="1" applyFill="1" applyBorder="1" applyAlignment="1">
      <alignment horizontal="center" vertical="top" wrapText="1"/>
    </xf>
    <xf numFmtId="0" fontId="1" fillId="9" borderId="23" xfId="0" applyFont="1" applyFill="1" applyBorder="1" applyAlignment="1">
      <alignment horizontal="center" vertical="top" wrapText="1"/>
    </xf>
    <xf numFmtId="0" fontId="1" fillId="10" borderId="21" xfId="0" applyFont="1" applyFill="1" applyBorder="1" applyAlignment="1">
      <alignment horizontal="center" vertical="top" wrapText="1"/>
    </xf>
    <xf numFmtId="0" fontId="1" fillId="10" borderId="22" xfId="0" applyFont="1" applyFill="1" applyBorder="1" applyAlignment="1">
      <alignment horizontal="center" vertical="top" wrapText="1"/>
    </xf>
    <xf numFmtId="0" fontId="1" fillId="10" borderId="23" xfId="0" applyFont="1" applyFill="1" applyBorder="1" applyAlignment="1">
      <alignment horizontal="center" vertical="top" wrapText="1"/>
    </xf>
    <xf numFmtId="0" fontId="1" fillId="11" borderId="21" xfId="0" applyFont="1" applyFill="1" applyBorder="1" applyAlignment="1">
      <alignment horizontal="center" vertical="top" wrapText="1"/>
    </xf>
    <xf numFmtId="0" fontId="1" fillId="11" borderId="22" xfId="0" applyFont="1" applyFill="1" applyBorder="1" applyAlignment="1">
      <alignment horizontal="center" vertical="top" wrapText="1"/>
    </xf>
    <xf numFmtId="0" fontId="1" fillId="11" borderId="23" xfId="0" applyFont="1" applyFill="1" applyBorder="1" applyAlignment="1">
      <alignment horizontal="center" vertical="top" wrapText="1"/>
    </xf>
    <xf numFmtId="49" fontId="7" fillId="0" borderId="18" xfId="0" applyNumberFormat="1" applyFont="1" applyBorder="1" applyAlignment="1">
      <alignment horizontal="left" wrapText="1" shrinkToFit="1"/>
    </xf>
    <xf numFmtId="49" fontId="7" fillId="0" borderId="19" xfId="0" applyNumberFormat="1" applyFont="1" applyBorder="1" applyAlignment="1">
      <alignment horizontal="left" wrapText="1" shrinkToFit="1"/>
    </xf>
    <xf numFmtId="49" fontId="7" fillId="0" borderId="20" xfId="0" applyNumberFormat="1" applyFont="1" applyBorder="1" applyAlignment="1">
      <alignment horizontal="left" wrapText="1" shrinkToFit="1"/>
    </xf>
    <xf numFmtId="49" fontId="21" fillId="0" borderId="18" xfId="0" applyNumberFormat="1" applyFont="1" applyBorder="1" applyAlignment="1">
      <alignment horizontal="left" vertical="center" wrapText="1"/>
    </xf>
    <xf numFmtId="49" fontId="21" fillId="0" borderId="19" xfId="0" applyNumberFormat="1" applyFont="1" applyBorder="1" applyAlignment="1">
      <alignment horizontal="left" vertical="center" wrapText="1"/>
    </xf>
    <xf numFmtId="49" fontId="21" fillId="0" borderId="20" xfId="0" applyNumberFormat="1" applyFont="1" applyBorder="1" applyAlignment="1">
      <alignment horizontal="left" vertical="center" wrapText="1"/>
    </xf>
    <xf numFmtId="0" fontId="28" fillId="0" borderId="0" xfId="0" applyFont="1" applyFill="1" applyBorder="1" applyAlignment="1">
      <alignment horizontal="left" vertical="center" wrapText="1"/>
    </xf>
    <xf numFmtId="0" fontId="1" fillId="8" borderId="21" xfId="0" applyFont="1" applyFill="1" applyBorder="1" applyAlignment="1">
      <alignment horizontal="center" vertical="top" wrapText="1"/>
    </xf>
    <xf numFmtId="0" fontId="1" fillId="8" borderId="22" xfId="0" applyFont="1" applyFill="1" applyBorder="1" applyAlignment="1">
      <alignment horizontal="center" vertical="top" wrapText="1"/>
    </xf>
    <xf numFmtId="0" fontId="1" fillId="8" borderId="23" xfId="0" applyFont="1" applyFill="1" applyBorder="1" applyAlignment="1">
      <alignment horizontal="center" vertical="top" wrapText="1"/>
    </xf>
    <xf numFmtId="49" fontId="7" fillId="5" borderId="35" xfId="0" applyNumberFormat="1" applyFont="1" applyFill="1" applyBorder="1" applyAlignment="1">
      <alignment horizontal="left" wrapText="1"/>
    </xf>
    <xf numFmtId="49" fontId="7" fillId="5" borderId="24" xfId="0" applyNumberFormat="1" applyFont="1" applyFill="1" applyBorder="1" applyAlignment="1">
      <alignment horizontal="left" wrapText="1"/>
    </xf>
    <xf numFmtId="49" fontId="7" fillId="5" borderId="34" xfId="0" applyNumberFormat="1" applyFont="1" applyFill="1" applyBorder="1" applyAlignment="1">
      <alignment horizontal="left" wrapText="1"/>
    </xf>
    <xf numFmtId="49" fontId="7" fillId="6" borderId="1" xfId="0" applyNumberFormat="1" applyFont="1" applyFill="1" applyBorder="1" applyAlignment="1">
      <alignment horizontal="left" wrapText="1"/>
    </xf>
    <xf numFmtId="49" fontId="43" fillId="3" borderId="18" xfId="0" applyNumberFormat="1" applyFont="1" applyFill="1" applyBorder="1" applyAlignment="1">
      <alignment horizontal="left" vertical="top" wrapText="1"/>
    </xf>
    <xf numFmtId="49" fontId="43" fillId="3" borderId="19" xfId="0" applyNumberFormat="1" applyFont="1" applyFill="1" applyBorder="1" applyAlignment="1">
      <alignment horizontal="left" vertical="top" wrapText="1"/>
    </xf>
    <xf numFmtId="49" fontId="43" fillId="3" borderId="20"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49" fontId="3" fillId="2" borderId="0" xfId="0" applyNumberFormat="1" applyFont="1" applyFill="1" applyAlignment="1">
      <alignment horizontal="center" vertical="top"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13" fillId="6" borderId="0" xfId="0" applyNumberFormat="1" applyFont="1" applyFill="1" applyAlignment="1">
      <alignment horizontal="center" vertical="center"/>
    </xf>
    <xf numFmtId="49" fontId="3" fillId="2" borderId="2" xfId="0" applyNumberFormat="1" applyFont="1" applyFill="1" applyBorder="1" applyAlignment="1">
      <alignment horizontal="left" vertical="top" wrapText="1"/>
    </xf>
    <xf numFmtId="49" fontId="3" fillId="0" borderId="1" xfId="0" applyNumberFormat="1" applyFont="1" applyBorder="1" applyAlignment="1">
      <alignment horizontal="center" vertical="top" wrapText="1"/>
    </xf>
    <xf numFmtId="49" fontId="3" fillId="0" borderId="59" xfId="0" applyNumberFormat="1" applyFont="1" applyBorder="1" applyAlignment="1">
      <alignment horizontal="center" vertical="center" wrapText="1"/>
    </xf>
    <xf numFmtId="0" fontId="3" fillId="0" borderId="2" xfId="1" applyFont="1" applyBorder="1" applyAlignment="1">
      <alignment horizontal="center" vertical="center"/>
    </xf>
    <xf numFmtId="49" fontId="42" fillId="0" borderId="0" xfId="0" applyNumberFormat="1" applyFont="1" applyAlignment="1">
      <alignment horizontal="center" vertical="top"/>
    </xf>
    <xf numFmtId="49" fontId="21" fillId="8" borderId="1" xfId="0" applyNumberFormat="1" applyFont="1" applyFill="1" applyBorder="1" applyAlignment="1">
      <alignment horizontal="left" wrapText="1"/>
    </xf>
    <xf numFmtId="49" fontId="7" fillId="8" borderId="1" xfId="0" applyNumberFormat="1" applyFont="1" applyFill="1" applyBorder="1" applyAlignment="1">
      <alignment horizontal="left" wrapText="1"/>
    </xf>
  </cellXfs>
  <cellStyles count="3">
    <cellStyle name="Обычный" xfId="0" builtinId="0"/>
    <cellStyle name="Обычный_приложение" xfId="1"/>
    <cellStyle name="Финансов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9335~1/LOCALS~1/Temp/Rar$DIa0.315/&#1055;&#1060;&#1061;&#10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Раздел 2"/>
      <sheetName val="Табл. 1 госзадание"/>
      <sheetName val="Табл. 2 Иные цели"/>
      <sheetName val="Табл. 3 кап вложения"/>
      <sheetName val="Табл. 4 платные всего"/>
      <sheetName val="Табл. 4.1 платные (0704)"/>
      <sheetName val="Табл. 4.2 платные (0901)"/>
      <sheetName val="Табл. 4.3 платные (0902)"/>
      <sheetName val="Табл. 4.4 платные (0903)"/>
      <sheetName val="Табл. 4.5 платные (0904)"/>
      <sheetName val="Табл. 4.6 платные (0905)"/>
      <sheetName val="Табл. 4.7 платные (0906)"/>
      <sheetName val="Табл. 4.8 платные (0907)"/>
      <sheetName val="Табл. 4.9 платные (0909)"/>
      <sheetName val="Табл. 5 ОМС"/>
      <sheetName val="таб. 6 опл. тр СВОД "/>
      <sheetName val="таб. 6 опл. тр по видам помощи"/>
    </sheetNames>
    <sheetDataSet>
      <sheetData sheetId="0" refreshError="1"/>
      <sheetData sheetId="1" refreshError="1"/>
      <sheetData sheetId="2">
        <row r="1">
          <cell r="A1" t="str">
            <v xml:space="preserve">Таблица 1 </v>
          </cell>
        </row>
        <row r="3">
          <cell r="A3" t="str">
            <v>Показатели по поступлениям и выплатам субсидии на финансовое обеспечение выполнения государственного задания на оказание государственных услуг</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R319"/>
  <sheetViews>
    <sheetView topLeftCell="A79" zoomScale="140" zoomScaleNormal="140" zoomScaleSheetLayoutView="115" workbookViewId="0">
      <selection activeCell="H81" sqref="H81"/>
    </sheetView>
  </sheetViews>
  <sheetFormatPr defaultRowHeight="19.5" customHeight="1" x14ac:dyDescent="0.25"/>
  <cols>
    <col min="1" max="1" width="9.140625" style="7"/>
    <col min="2" max="2" width="9.7109375" style="7" customWidth="1"/>
    <col min="3" max="3" width="14.28515625" style="7" customWidth="1"/>
    <col min="4" max="4" width="16.85546875" style="7" customWidth="1"/>
    <col min="5" max="5" width="7.140625" style="7" customWidth="1"/>
    <col min="6" max="6" width="9.28515625" style="7" customWidth="1"/>
    <col min="7" max="7" width="8.28515625" style="7" customWidth="1"/>
    <col min="8" max="8" width="17.85546875" style="7" customWidth="1"/>
    <col min="9" max="10" width="20.85546875" style="7" customWidth="1"/>
    <col min="11" max="11" width="11.7109375" style="7" bestFit="1" customWidth="1"/>
    <col min="12" max="12" width="11.42578125" style="7" customWidth="1"/>
    <col min="13" max="13" width="9.140625" style="7"/>
    <col min="14" max="14" width="11.7109375" style="7" bestFit="1" customWidth="1"/>
    <col min="15" max="15" width="14" style="7" customWidth="1"/>
    <col min="16" max="16384" width="9.140625" style="7"/>
  </cols>
  <sheetData>
    <row r="1" spans="1:17" ht="19.5" customHeight="1" x14ac:dyDescent="0.3">
      <c r="G1" s="11" t="s">
        <v>95</v>
      </c>
      <c r="L1" s="20"/>
    </row>
    <row r="2" spans="1:17" ht="19.5" customHeight="1" x14ac:dyDescent="0.3">
      <c r="G2" s="11" t="s">
        <v>43</v>
      </c>
      <c r="L2" s="20"/>
    </row>
    <row r="3" spans="1:17" ht="19.5" customHeight="1" x14ac:dyDescent="0.3">
      <c r="G3" s="11" t="s">
        <v>40</v>
      </c>
      <c r="L3" s="20"/>
    </row>
    <row r="4" spans="1:17" ht="19.5" customHeight="1" x14ac:dyDescent="0.3">
      <c r="G4" s="11" t="s">
        <v>41</v>
      </c>
      <c r="L4" s="20"/>
    </row>
    <row r="5" spans="1:17" ht="19.5" customHeight="1" x14ac:dyDescent="0.3">
      <c r="G5" s="11" t="s">
        <v>42</v>
      </c>
      <c r="L5" s="20"/>
    </row>
    <row r="6" spans="1:17" ht="19.5" customHeight="1" x14ac:dyDescent="0.3">
      <c r="G6" s="274" t="s">
        <v>258</v>
      </c>
      <c r="H6" s="274"/>
      <c r="I6" s="274"/>
      <c r="J6" s="274"/>
      <c r="L6" s="20"/>
    </row>
    <row r="7" spans="1:17" ht="19.5" customHeight="1" x14ac:dyDescent="0.3">
      <c r="L7" s="20"/>
    </row>
    <row r="8" spans="1:17" ht="19.5" customHeight="1" x14ac:dyDescent="0.3">
      <c r="E8" s="21"/>
      <c r="G8" s="280" t="s">
        <v>3</v>
      </c>
      <c r="H8" s="280"/>
      <c r="I8" s="280"/>
      <c r="J8" s="280"/>
      <c r="L8" s="20"/>
    </row>
    <row r="9" spans="1:17" ht="19.5" customHeight="1" x14ac:dyDescent="0.25">
      <c r="E9" s="21"/>
      <c r="G9" s="286"/>
      <c r="H9" s="286"/>
      <c r="I9" s="286"/>
      <c r="J9" s="286"/>
    </row>
    <row r="10" spans="1:17" ht="19.5" customHeight="1" x14ac:dyDescent="0.25">
      <c r="E10" s="21"/>
      <c r="G10" s="287" t="s">
        <v>35</v>
      </c>
      <c r="H10" s="287"/>
      <c r="I10" s="287"/>
      <c r="J10" s="287"/>
    </row>
    <row r="11" spans="1:17" s="22" customFormat="1" ht="19.5" customHeight="1" x14ac:dyDescent="0.3">
      <c r="E11" s="281"/>
      <c r="F11" s="281"/>
      <c r="G11" s="284" t="s">
        <v>10</v>
      </c>
      <c r="H11" s="284"/>
      <c r="I11" s="290"/>
      <c r="J11" s="290"/>
      <c r="K11" s="23"/>
      <c r="L11" s="24"/>
      <c r="Q11" s="25"/>
    </row>
    <row r="12" spans="1:17" ht="19.5" customHeight="1" x14ac:dyDescent="0.25">
      <c r="E12" s="26"/>
      <c r="F12" s="26"/>
      <c r="G12" s="282" t="s">
        <v>6</v>
      </c>
      <c r="H12" s="283"/>
      <c r="I12" s="282" t="s">
        <v>11</v>
      </c>
      <c r="J12" s="282"/>
    </row>
    <row r="13" spans="1:17" ht="19.5" customHeight="1" x14ac:dyDescent="0.25">
      <c r="F13" s="285" t="s">
        <v>269</v>
      </c>
      <c r="G13" s="285"/>
      <c r="H13" s="285"/>
      <c r="I13" s="285"/>
      <c r="J13" s="285"/>
    </row>
    <row r="14" spans="1:17" ht="19.5" customHeight="1" x14ac:dyDescent="0.25">
      <c r="E14" s="21"/>
      <c r="F14" s="285" t="s">
        <v>7</v>
      </c>
      <c r="G14" s="285"/>
      <c r="H14" s="21"/>
      <c r="I14" s="21"/>
    </row>
    <row r="15" spans="1:17" ht="9" customHeight="1" x14ac:dyDescent="0.25"/>
    <row r="16" spans="1:17" ht="22.15" customHeight="1" x14ac:dyDescent="0.3">
      <c r="A16" s="288" t="s">
        <v>12</v>
      </c>
      <c r="B16" s="289"/>
      <c r="C16" s="289"/>
      <c r="D16" s="289"/>
      <c r="E16" s="289"/>
      <c r="F16" s="289"/>
      <c r="G16" s="289"/>
      <c r="H16" s="289"/>
      <c r="I16" s="289"/>
      <c r="J16" s="289"/>
    </row>
    <row r="17" spans="1:10" ht="19.5" customHeight="1" x14ac:dyDescent="0.3">
      <c r="A17" s="291" t="s">
        <v>259</v>
      </c>
      <c r="B17" s="291"/>
      <c r="C17" s="291"/>
      <c r="D17" s="291"/>
      <c r="E17" s="291"/>
      <c r="F17" s="291"/>
      <c r="G17" s="291"/>
      <c r="H17" s="291"/>
      <c r="I17" s="291"/>
      <c r="J17" s="291"/>
    </row>
    <row r="18" spans="1:10" ht="19.5" customHeight="1" x14ac:dyDescent="0.3">
      <c r="A18" s="292" t="s">
        <v>36</v>
      </c>
      <c r="B18" s="292"/>
      <c r="C18" s="292"/>
      <c r="D18" s="292"/>
      <c r="E18" s="292"/>
      <c r="F18" s="292"/>
      <c r="G18" s="292"/>
      <c r="H18" s="292"/>
      <c r="I18" s="292"/>
      <c r="J18" s="292"/>
    </row>
    <row r="19" spans="1:10" ht="19.5" customHeight="1" x14ac:dyDescent="0.25">
      <c r="A19" s="294" t="s">
        <v>270</v>
      </c>
      <c r="B19" s="294"/>
      <c r="C19" s="294"/>
      <c r="D19" s="294"/>
      <c r="E19" s="294"/>
      <c r="F19" s="294"/>
      <c r="G19" s="294"/>
      <c r="H19" s="294"/>
      <c r="I19" s="294"/>
      <c r="J19" s="294"/>
    </row>
    <row r="20" spans="1:10" ht="19.5" customHeight="1" x14ac:dyDescent="0.25">
      <c r="A20" s="55"/>
      <c r="B20" s="55"/>
      <c r="C20" s="55"/>
      <c r="D20" s="55"/>
      <c r="E20" s="55"/>
      <c r="F20" s="55"/>
      <c r="G20" s="55"/>
      <c r="H20" s="55"/>
      <c r="I20" s="55"/>
      <c r="J20" s="55"/>
    </row>
    <row r="21" spans="1:10" ht="19.5" customHeight="1" x14ac:dyDescent="0.3">
      <c r="A21" s="263" t="s">
        <v>271</v>
      </c>
      <c r="B21" s="263"/>
      <c r="C21" s="263"/>
      <c r="D21" s="263"/>
      <c r="E21" s="263"/>
      <c r="F21" s="263"/>
      <c r="G21" s="263"/>
      <c r="H21" s="263"/>
      <c r="I21" s="263"/>
      <c r="J21" s="263"/>
    </row>
    <row r="22" spans="1:10" ht="19.5" customHeight="1" thickBot="1" x14ac:dyDescent="0.35">
      <c r="A22" s="57"/>
      <c r="B22" s="57"/>
      <c r="C22" s="57"/>
      <c r="D22" s="57"/>
      <c r="E22" s="57"/>
      <c r="F22" s="57"/>
      <c r="G22" s="57"/>
      <c r="H22" s="57"/>
      <c r="I22" s="57"/>
      <c r="J22" s="57"/>
    </row>
    <row r="23" spans="1:10" ht="19.5" customHeight="1" x14ac:dyDescent="0.25">
      <c r="A23" s="5"/>
      <c r="B23" s="5"/>
      <c r="C23" s="5"/>
      <c r="D23" s="5"/>
      <c r="E23" s="5"/>
      <c r="F23" s="5"/>
      <c r="G23" s="6"/>
      <c r="H23" s="6"/>
      <c r="I23" s="6"/>
      <c r="J23" s="63" t="s">
        <v>13</v>
      </c>
    </row>
    <row r="24" spans="1:10" ht="19.5" customHeight="1" x14ac:dyDescent="0.25">
      <c r="A24" s="5"/>
      <c r="B24" s="5"/>
      <c r="C24" s="5"/>
      <c r="D24" s="5"/>
      <c r="E24" s="5"/>
      <c r="F24" s="5"/>
      <c r="G24" s="6"/>
      <c r="H24" s="6"/>
      <c r="I24" s="59" t="s">
        <v>97</v>
      </c>
      <c r="J24" s="64"/>
    </row>
    <row r="25" spans="1:10" ht="19.5" customHeight="1" x14ac:dyDescent="0.25">
      <c r="A25" s="5"/>
      <c r="B25" s="5"/>
      <c r="C25" s="5"/>
      <c r="D25" s="5"/>
      <c r="E25" s="5"/>
      <c r="F25" s="5"/>
      <c r="G25" s="6"/>
      <c r="H25" s="6"/>
      <c r="I25" s="6"/>
      <c r="J25" s="64"/>
    </row>
    <row r="26" spans="1:10" ht="45" customHeight="1" x14ac:dyDescent="0.25">
      <c r="A26" s="10" t="s">
        <v>4</v>
      </c>
      <c r="B26" s="3"/>
      <c r="C26" s="3"/>
      <c r="D26" s="265" t="s">
        <v>272</v>
      </c>
      <c r="E26" s="266"/>
      <c r="F26" s="266"/>
      <c r="G26" s="266"/>
      <c r="H26" s="266"/>
      <c r="I26" s="59" t="s">
        <v>0</v>
      </c>
      <c r="J26" s="64">
        <v>351000780</v>
      </c>
    </row>
    <row r="27" spans="1:10" ht="19.5" customHeight="1" x14ac:dyDescent="0.25">
      <c r="A27" s="10"/>
      <c r="B27" s="3"/>
      <c r="C27" s="3"/>
      <c r="D27" s="293" t="s">
        <v>25</v>
      </c>
      <c r="E27" s="293"/>
      <c r="F27" s="293"/>
      <c r="G27" s="293"/>
      <c r="H27" s="293"/>
      <c r="I27" s="8"/>
      <c r="J27" s="64"/>
    </row>
    <row r="28" spans="1:10" ht="19.5" customHeight="1" x14ac:dyDescent="0.25">
      <c r="A28" s="264" t="s">
        <v>273</v>
      </c>
      <c r="B28" s="264"/>
      <c r="C28" s="264"/>
      <c r="D28" s="264"/>
      <c r="E28" s="264"/>
      <c r="F28" s="264"/>
      <c r="G28" s="264"/>
      <c r="H28" s="264"/>
      <c r="I28" s="59" t="s">
        <v>1</v>
      </c>
      <c r="J28" s="64">
        <v>351001001</v>
      </c>
    </row>
    <row r="29" spans="1:10" ht="19.5" customHeight="1" x14ac:dyDescent="0.25">
      <c r="A29" s="264"/>
      <c r="B29" s="264"/>
      <c r="C29" s="264"/>
      <c r="D29" s="264"/>
      <c r="E29" s="264"/>
      <c r="F29" s="264"/>
      <c r="G29" s="264"/>
      <c r="H29" s="264"/>
      <c r="I29" s="59"/>
      <c r="J29" s="64"/>
    </row>
    <row r="30" spans="1:10" ht="19.5" customHeight="1" thickBot="1" x14ac:dyDescent="0.3">
      <c r="A30" s="2" t="s">
        <v>8</v>
      </c>
      <c r="B30" s="3"/>
      <c r="C30" s="275" t="s">
        <v>5</v>
      </c>
      <c r="D30" s="275"/>
      <c r="E30" s="275"/>
      <c r="F30" s="275"/>
      <c r="G30" s="275"/>
      <c r="H30" s="275"/>
      <c r="I30" s="62" t="s">
        <v>98</v>
      </c>
      <c r="J30" s="65"/>
    </row>
    <row r="31" spans="1:10" ht="19.5" customHeight="1" x14ac:dyDescent="0.25">
      <c r="A31" s="2"/>
      <c r="B31" s="3"/>
      <c r="C31" s="60"/>
      <c r="D31" s="60"/>
      <c r="E31" s="60"/>
      <c r="F31" s="60"/>
      <c r="G31" s="60"/>
      <c r="H31" s="60"/>
      <c r="I31" s="61"/>
      <c r="J31" s="61"/>
    </row>
    <row r="32" spans="1:10" ht="16.5" customHeight="1" thickBot="1" x14ac:dyDescent="0.3">
      <c r="A32" s="304"/>
      <c r="B32" s="304"/>
      <c r="C32" s="304"/>
      <c r="D32" s="304"/>
      <c r="E32" s="304"/>
      <c r="F32" s="304"/>
      <c r="G32" s="304"/>
      <c r="H32" s="304"/>
      <c r="I32" s="304"/>
      <c r="J32" s="28"/>
    </row>
    <row r="33" spans="1:75" ht="19.5" customHeight="1" x14ac:dyDescent="0.25">
      <c r="A33" s="264" t="s">
        <v>14</v>
      </c>
      <c r="B33" s="264"/>
      <c r="C33" s="264"/>
      <c r="D33" s="264"/>
      <c r="E33" s="264"/>
      <c r="F33" s="265" t="s">
        <v>15</v>
      </c>
      <c r="G33" s="265"/>
      <c r="H33" s="265"/>
      <c r="I33" s="8" t="s">
        <v>0</v>
      </c>
      <c r="J33" s="63">
        <v>3525010519</v>
      </c>
    </row>
    <row r="34" spans="1:75" ht="19.5" customHeight="1" thickBot="1" x14ac:dyDescent="0.3">
      <c r="A34" s="264"/>
      <c r="B34" s="264"/>
      <c r="C34" s="264"/>
      <c r="D34" s="264"/>
      <c r="E34" s="264"/>
      <c r="F34" s="265"/>
      <c r="G34" s="265"/>
      <c r="H34" s="265"/>
      <c r="I34" s="8" t="s">
        <v>1</v>
      </c>
      <c r="J34" s="66">
        <v>352501001</v>
      </c>
    </row>
    <row r="35" spans="1:75" ht="19.5" customHeight="1" x14ac:dyDescent="0.25">
      <c r="A35" s="2"/>
      <c r="B35" s="3"/>
      <c r="C35" s="3"/>
      <c r="D35" s="3"/>
      <c r="E35" s="3"/>
      <c r="F35" s="9"/>
      <c r="G35" s="267"/>
      <c r="H35" s="267"/>
      <c r="I35" s="267"/>
      <c r="J35" s="267"/>
    </row>
    <row r="36" spans="1:75" ht="19.5" customHeight="1" x14ac:dyDescent="0.25">
      <c r="A36" s="2"/>
      <c r="B36" s="3"/>
      <c r="C36" s="3"/>
      <c r="D36" s="3"/>
      <c r="E36" s="3"/>
      <c r="F36" s="3"/>
      <c r="G36" s="4"/>
      <c r="H36" s="4"/>
      <c r="I36" s="4"/>
      <c r="J36" s="4"/>
    </row>
    <row r="37" spans="1:75" ht="19.5" customHeight="1" x14ac:dyDescent="0.3">
      <c r="A37" s="276" t="s">
        <v>99</v>
      </c>
      <c r="B37" s="276"/>
      <c r="C37" s="276"/>
      <c r="D37" s="276"/>
      <c r="E37" s="276"/>
      <c r="F37" s="276"/>
      <c r="G37" s="276"/>
      <c r="H37" s="276"/>
      <c r="I37" s="276"/>
      <c r="J37" s="276"/>
    </row>
    <row r="38" spans="1:75" ht="19.5" customHeight="1" thickBot="1" x14ac:dyDescent="0.3">
      <c r="A38" s="56"/>
      <c r="B38" s="56"/>
      <c r="C38" s="56"/>
      <c r="D38" s="56"/>
      <c r="E38" s="56"/>
      <c r="F38" s="56"/>
      <c r="G38" s="58"/>
      <c r="H38" s="58"/>
      <c r="I38" s="58"/>
      <c r="J38" s="58"/>
    </row>
    <row r="39" spans="1:75" ht="19.5" customHeight="1" thickBot="1" x14ac:dyDescent="0.3">
      <c r="A39" s="295" t="s">
        <v>2</v>
      </c>
      <c r="B39" s="296"/>
      <c r="C39" s="296"/>
      <c r="D39" s="297"/>
      <c r="E39" s="268" t="s">
        <v>27</v>
      </c>
      <c r="F39" s="268" t="s">
        <v>104</v>
      </c>
      <c r="G39" s="268" t="s">
        <v>103</v>
      </c>
      <c r="H39" s="277" t="s">
        <v>100</v>
      </c>
      <c r="I39" s="278"/>
      <c r="J39" s="279"/>
      <c r="L39" s="27"/>
      <c r="M39" s="27"/>
      <c r="N39" s="27"/>
    </row>
    <row r="40" spans="1:75" ht="15" customHeight="1" x14ac:dyDescent="0.25">
      <c r="A40" s="298"/>
      <c r="B40" s="299"/>
      <c r="C40" s="299"/>
      <c r="D40" s="300"/>
      <c r="E40" s="269"/>
      <c r="F40" s="269"/>
      <c r="G40" s="269"/>
      <c r="H40" s="201" t="s">
        <v>274</v>
      </c>
      <c r="I40" s="201" t="s">
        <v>275</v>
      </c>
      <c r="J40" s="201" t="s">
        <v>276</v>
      </c>
    </row>
    <row r="41" spans="1:75" ht="44.25" customHeight="1" thickBot="1" x14ac:dyDescent="0.3">
      <c r="A41" s="301"/>
      <c r="B41" s="302"/>
      <c r="C41" s="302"/>
      <c r="D41" s="303"/>
      <c r="E41" s="270"/>
      <c r="F41" s="270"/>
      <c r="G41" s="270"/>
      <c r="H41" s="202" t="s">
        <v>39</v>
      </c>
      <c r="I41" s="202" t="s">
        <v>101</v>
      </c>
      <c r="J41" s="202" t="s">
        <v>102</v>
      </c>
    </row>
    <row r="42" spans="1:75" ht="13.5" customHeight="1" thickBot="1" x14ac:dyDescent="0.3">
      <c r="A42" s="257">
        <v>1</v>
      </c>
      <c r="B42" s="258"/>
      <c r="C42" s="258"/>
      <c r="D42" s="259"/>
      <c r="E42" s="82">
        <v>2</v>
      </c>
      <c r="F42" s="82">
        <v>3</v>
      </c>
      <c r="G42" s="83">
        <v>4</v>
      </c>
      <c r="H42" s="83">
        <v>5</v>
      </c>
      <c r="I42" s="83">
        <v>6</v>
      </c>
      <c r="J42" s="83">
        <v>7</v>
      </c>
    </row>
    <row r="43" spans="1:75" s="28" customFormat="1" ht="16.5" customHeight="1" x14ac:dyDescent="0.25">
      <c r="A43" s="320" t="s">
        <v>244</v>
      </c>
      <c r="B43" s="320"/>
      <c r="C43" s="320"/>
      <c r="D43" s="320"/>
      <c r="E43" s="86" t="s">
        <v>28</v>
      </c>
      <c r="F43" s="86" t="s">
        <v>9</v>
      </c>
      <c r="G43" s="86" t="s">
        <v>9</v>
      </c>
      <c r="H43" s="189">
        <f>'Табл. 1  Гос.задание(2)'!H13+'Табл. 2 Иные цели(2)'!H13+'Табл. 4.3 платные ВСЕГО '!H13+'Табл. 5 ОМС'!H13</f>
        <v>4620755.91</v>
      </c>
      <c r="I43" s="189">
        <f>'Табл. 1  Гос.задание(2)'!I13+'Табл. 2 Иные цели(2)'!I13+'Табл. 4.3 платные ВСЕГО '!I13+'Табл. 5 ОМС'!I13</f>
        <v>0</v>
      </c>
      <c r="J43" s="189">
        <f>'Табл. 1  Гос.задание(2)'!J13+'Табл. 2 Иные цели(2)'!J13+'Табл. 4.3 платные ВСЕГО '!J13+'Табл. 5 ОМС'!J13</f>
        <v>0</v>
      </c>
      <c r="K43" s="80"/>
      <c r="L43" s="80"/>
    </row>
    <row r="44" spans="1:75" s="28" customFormat="1" ht="18" customHeight="1" x14ac:dyDescent="0.25">
      <c r="A44" s="320" t="s">
        <v>254</v>
      </c>
      <c r="B44" s="320"/>
      <c r="C44" s="320"/>
      <c r="D44" s="320"/>
      <c r="E44" s="86" t="s">
        <v>160</v>
      </c>
      <c r="F44" s="87" t="s">
        <v>9</v>
      </c>
      <c r="G44" s="87" t="s">
        <v>9</v>
      </c>
      <c r="H44" s="189">
        <f>'Табл. 1  Гос.задание(2)'!H14+'Табл. 2 Иные цели(2)'!H14+'Табл. 4.3 платные ВСЕГО '!H14+'Табл. 5 ОМС'!H14</f>
        <v>0</v>
      </c>
      <c r="I44" s="189">
        <f>'Табл. 1  Гос.задание(2)'!I14+'Табл. 2 Иные цели(2)'!I14+'Табл. 4.3 платные ВСЕГО '!I14+'Табл. 5 ОМС'!I14</f>
        <v>0</v>
      </c>
      <c r="J44" s="189">
        <f>'Табл. 1  Гос.задание(2)'!J14+'Табл. 2 Иные цели(2)'!J14+'Табл. 4.3 платные ВСЕГО '!J14+'Табл. 5 ОМС'!J14</f>
        <v>0</v>
      </c>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row>
    <row r="45" spans="1:75" s="28" customFormat="1" ht="15.75" x14ac:dyDescent="0.25">
      <c r="A45" s="321" t="s">
        <v>105</v>
      </c>
      <c r="B45" s="321"/>
      <c r="C45" s="321"/>
      <c r="D45" s="321"/>
      <c r="E45" s="186">
        <v>1000</v>
      </c>
      <c r="F45" s="187"/>
      <c r="G45" s="188"/>
      <c r="H45" s="190">
        <f>H46+H49+H56+H62+H69</f>
        <v>150183243.69</v>
      </c>
      <c r="I45" s="190">
        <f>I46+I49+I56+I62+I69</f>
        <v>134516984.59999999</v>
      </c>
      <c r="J45" s="190">
        <f>J46+J49+J56+J62+J69</f>
        <v>119906553.90000001</v>
      </c>
      <c r="K45" s="194">
        <f>'Табл. 1  Гос.задание(2)'!H15+'Табл. 2 Иные цели(2)'!H15+'Табл. 5 ОМС'!H15+'Табл. 4.3 платные ВСЕГО '!H15</f>
        <v>150183243.69</v>
      </c>
      <c r="L45" s="194"/>
      <c r="M45" s="72"/>
      <c r="N45" s="72"/>
      <c r="O45" s="194"/>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row>
    <row r="46" spans="1:75" s="28" customFormat="1" ht="14.25" customHeight="1" x14ac:dyDescent="0.25">
      <c r="A46" s="320" t="s">
        <v>106</v>
      </c>
      <c r="B46" s="320"/>
      <c r="C46" s="320"/>
      <c r="D46" s="320"/>
      <c r="E46" s="86">
        <v>1100</v>
      </c>
      <c r="F46" s="85">
        <v>120</v>
      </c>
      <c r="G46" s="77"/>
      <c r="H46" s="211">
        <f>H48</f>
        <v>200000</v>
      </c>
      <c r="I46" s="189">
        <f>I48</f>
        <v>200000</v>
      </c>
      <c r="J46" s="189">
        <f>J48</f>
        <v>200000</v>
      </c>
      <c r="K46" s="194">
        <f>'Табл. 1  Гос.задание(2)'!H16+'Табл. 2 Иные цели(2)'!H16+'Табл. 5 ОМС'!H16+'Табл. 4.3 платные ВСЕГО '!H16</f>
        <v>200000</v>
      </c>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row>
    <row r="47" spans="1:75" s="28" customFormat="1" ht="15.75" x14ac:dyDescent="0.25">
      <c r="A47" s="322" t="s">
        <v>24</v>
      </c>
      <c r="B47" s="322"/>
      <c r="C47" s="322"/>
      <c r="D47" s="322"/>
      <c r="E47" s="76"/>
      <c r="F47" s="76"/>
      <c r="G47" s="76"/>
      <c r="H47" s="191"/>
      <c r="I47" s="191"/>
      <c r="J47" s="191"/>
      <c r="K47" s="194">
        <f>'Табл. 1  Гос.задание(2)'!H17+'Табл. 2 Иные цели(2)'!H17+'Табл. 5 ОМС'!H17+'Табл. 4.3 платные ВСЕГО '!H17</f>
        <v>0</v>
      </c>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row>
    <row r="48" spans="1:75" s="28" customFormat="1" ht="15" customHeight="1" x14ac:dyDescent="0.25">
      <c r="A48" s="319" t="s">
        <v>369</v>
      </c>
      <c r="B48" s="319"/>
      <c r="C48" s="319"/>
      <c r="D48" s="319"/>
      <c r="E48" s="81">
        <v>1110</v>
      </c>
      <c r="F48" s="84">
        <v>120</v>
      </c>
      <c r="G48" s="76">
        <v>121</v>
      </c>
      <c r="H48" s="244">
        <f>'Табл. 4.3 платные ВСЕГО '!H18</f>
        <v>200000</v>
      </c>
      <c r="I48" s="191">
        <f>'Табл. 4.3 платные ВСЕГО '!I18</f>
        <v>200000</v>
      </c>
      <c r="J48" s="191">
        <f>'Табл. 4.3 платные ВСЕГО '!J18</f>
        <v>200000</v>
      </c>
      <c r="K48" s="194">
        <f>'Табл. 1  Гос.задание(2)'!H18+'Табл. 2 Иные цели(2)'!H18+'Табл. 5 ОМС'!H18+'Табл. 4.3 платные ВСЕГО '!H18</f>
        <v>200000</v>
      </c>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row>
    <row r="49" spans="1:75" s="28" customFormat="1" ht="30" customHeight="1" x14ac:dyDescent="0.25">
      <c r="A49" s="261" t="s">
        <v>107</v>
      </c>
      <c r="B49" s="261"/>
      <c r="C49" s="261"/>
      <c r="D49" s="261"/>
      <c r="E49" s="86">
        <v>1200</v>
      </c>
      <c r="F49" s="85">
        <v>130</v>
      </c>
      <c r="G49" s="77"/>
      <c r="H49" s="189">
        <f>SUM(H50:H52)</f>
        <v>123300102.48</v>
      </c>
      <c r="I49" s="189">
        <f>SUM(I50:I52)</f>
        <v>119516984.59999999</v>
      </c>
      <c r="J49" s="189">
        <f>SUM(J50:J52)</f>
        <v>119706553.90000001</v>
      </c>
      <c r="K49" s="194">
        <f>'Табл. 1  Гос.задание(2)'!H19+'Табл. 2 Иные цели(2)'!H19+'Табл. 5 ОМС'!H19+'Табл. 4.3 платные ВСЕГО '!H19</f>
        <v>123300102.48</v>
      </c>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row>
    <row r="50" spans="1:75" s="28" customFormat="1" ht="34.5" customHeight="1" x14ac:dyDescent="0.25">
      <c r="A50" s="260" t="s">
        <v>261</v>
      </c>
      <c r="B50" s="260"/>
      <c r="C50" s="260"/>
      <c r="D50" s="260"/>
      <c r="E50" s="81">
        <v>1210</v>
      </c>
      <c r="F50" s="84">
        <v>130</v>
      </c>
      <c r="G50" s="76">
        <v>131</v>
      </c>
      <c r="H50" s="191">
        <f>'Табл. 1  Гос.задание(2)'!H19</f>
        <v>4558339.2</v>
      </c>
      <c r="I50" s="191">
        <f>'Табл. 1  Гос.задание(2)'!I19</f>
        <v>4974342.2</v>
      </c>
      <c r="J50" s="191">
        <f>'Табл. 1  Гос.задание(2)'!J19</f>
        <v>5163911.5</v>
      </c>
      <c r="K50" s="194">
        <f>'Табл. 1  Гос.задание(2)'!H20+'Табл. 2 Иные цели(2)'!H20+'Табл. 5 ОМС'!H20+'Табл. 4.3 платные ВСЕГО '!H20</f>
        <v>4558339.2</v>
      </c>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row>
    <row r="51" spans="1:75" s="28" customFormat="1" ht="22.5" customHeight="1" x14ac:dyDescent="0.25">
      <c r="A51" s="260" t="s">
        <v>262</v>
      </c>
      <c r="B51" s="260"/>
      <c r="C51" s="260"/>
      <c r="D51" s="260"/>
      <c r="E51" s="81">
        <v>1220</v>
      </c>
      <c r="F51" s="84">
        <v>130</v>
      </c>
      <c r="G51" s="76">
        <v>132</v>
      </c>
      <c r="H51" s="191">
        <f>'Табл. 5 ОМС'!H21</f>
        <v>111621763.28</v>
      </c>
      <c r="I51" s="191">
        <f>'Табл. 5 ОМС'!I21</f>
        <v>105522642.40000001</v>
      </c>
      <c r="J51" s="191">
        <f>'Табл. 5 ОМС'!J21</f>
        <v>105522642.40000001</v>
      </c>
      <c r="K51" s="194">
        <f>'Табл. 1  Гос.задание(2)'!H21+'Табл. 2 Иные цели(2)'!H21+'Табл. 5 ОМС'!H21+'Табл. 4.3 платные ВСЕГО '!H21</f>
        <v>111621763.28</v>
      </c>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row>
    <row r="52" spans="1:75" s="28" customFormat="1" ht="13.5" customHeight="1" x14ac:dyDescent="0.25">
      <c r="A52" s="260" t="s">
        <v>370</v>
      </c>
      <c r="B52" s="260"/>
      <c r="C52" s="260"/>
      <c r="D52" s="260"/>
      <c r="E52" s="84">
        <v>1230</v>
      </c>
      <c r="F52" s="84">
        <v>130</v>
      </c>
      <c r="G52" s="76"/>
      <c r="H52" s="244">
        <f>'Табл. 4.3 платные ВСЕГО '!H19</f>
        <v>7120000</v>
      </c>
      <c r="I52" s="191">
        <f>'Табл. 4.3 платные ВСЕГО '!I19</f>
        <v>9020000</v>
      </c>
      <c r="J52" s="191">
        <f>'Табл. 4.3 платные ВСЕГО '!J19</f>
        <v>9020000</v>
      </c>
      <c r="K52" s="194">
        <f>'Табл. 1  Гос.задание(2)'!H22+'Табл. 2 Иные цели(2)'!H22+'Табл. 5 ОМС'!H22+'Табл. 4.3 платные ВСЕГО '!H22</f>
        <v>7120000</v>
      </c>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row>
    <row r="53" spans="1:75" s="28" customFormat="1" ht="13.5" customHeight="1" x14ac:dyDescent="0.25">
      <c r="A53" s="260" t="s">
        <v>108</v>
      </c>
      <c r="B53" s="260"/>
      <c r="C53" s="260"/>
      <c r="D53" s="260"/>
      <c r="E53" s="81">
        <v>1300</v>
      </c>
      <c r="F53" s="84">
        <v>140</v>
      </c>
      <c r="G53" s="76"/>
      <c r="H53" s="191"/>
      <c r="I53" s="191"/>
      <c r="J53" s="191"/>
      <c r="K53" s="194">
        <f>'Табл. 1  Гос.задание(2)'!H23+'Табл. 2 Иные цели(2)'!H23+'Табл. 5 ОМС'!H23+'Табл. 4.3 платные ВСЕГО '!H23</f>
        <v>0</v>
      </c>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row>
    <row r="54" spans="1:75" s="28" customFormat="1" ht="11.1" customHeight="1" x14ac:dyDescent="0.25">
      <c r="A54" s="260" t="s">
        <v>24</v>
      </c>
      <c r="B54" s="260"/>
      <c r="C54" s="260"/>
      <c r="D54" s="260"/>
      <c r="E54" s="76"/>
      <c r="F54" s="84"/>
      <c r="G54" s="76"/>
      <c r="H54" s="191"/>
      <c r="I54" s="191"/>
      <c r="J54" s="191"/>
      <c r="K54" s="194">
        <f>'Табл. 1  Гос.задание(2)'!H24+'Табл. 2 Иные цели(2)'!H24+'Табл. 5 ОМС'!H24+'Табл. 4.3 платные ВСЕГО '!H24</f>
        <v>0</v>
      </c>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row>
    <row r="55" spans="1:75" s="28" customFormat="1" ht="13.5" customHeight="1" x14ac:dyDescent="0.25">
      <c r="A55" s="260"/>
      <c r="B55" s="260"/>
      <c r="C55" s="260"/>
      <c r="D55" s="260"/>
      <c r="E55" s="81">
        <v>1310</v>
      </c>
      <c r="F55" s="84">
        <v>140</v>
      </c>
      <c r="G55" s="76"/>
      <c r="H55" s="191"/>
      <c r="I55" s="191"/>
      <c r="J55" s="191"/>
      <c r="K55" s="194">
        <f>'Табл. 1  Гос.задание(2)'!H25+'Табл. 2 Иные цели(2)'!H25+'Табл. 5 ОМС'!H25+'Табл. 4.3 платные ВСЕГО '!H25</f>
        <v>0</v>
      </c>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row>
    <row r="56" spans="1:75" s="28" customFormat="1" ht="15.75" customHeight="1" x14ac:dyDescent="0.25">
      <c r="A56" s="318" t="s">
        <v>109</v>
      </c>
      <c r="B56" s="318"/>
      <c r="C56" s="318"/>
      <c r="D56" s="318"/>
      <c r="E56" s="237">
        <v>1400</v>
      </c>
      <c r="F56" s="124">
        <v>150</v>
      </c>
      <c r="G56" s="210"/>
      <c r="H56" s="211">
        <f>SUM(H58:H61)</f>
        <v>26681141.210000001</v>
      </c>
      <c r="I56" s="211">
        <f>SUM(I58:I61)</f>
        <v>14800000</v>
      </c>
      <c r="J56" s="211">
        <f>SUM(J61:J61)</f>
        <v>0</v>
      </c>
      <c r="K56" s="194">
        <f>'Табл. 1  Гос.задание(2)'!H26+'Табл. 2 Иные цели(2)'!H26+'Табл. 5 ОМС'!H26+'Табл. 4.3 платные ВСЕГО '!H26</f>
        <v>26681141.210000001</v>
      </c>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row>
    <row r="57" spans="1:75" s="28" customFormat="1" ht="11.1" customHeight="1" x14ac:dyDescent="0.25">
      <c r="A57" s="316" t="s">
        <v>24</v>
      </c>
      <c r="B57" s="316"/>
      <c r="C57" s="316"/>
      <c r="D57" s="316"/>
      <c r="E57" s="109"/>
      <c r="F57" s="109"/>
      <c r="G57" s="110"/>
      <c r="H57" s="196"/>
      <c r="I57" s="196"/>
      <c r="J57" s="196"/>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1:75" s="28" customFormat="1" ht="11.1" customHeight="1" x14ac:dyDescent="0.25">
      <c r="A58" s="323" t="s">
        <v>409</v>
      </c>
      <c r="B58" s="324"/>
      <c r="C58" s="324"/>
      <c r="D58" s="325"/>
      <c r="E58" s="109">
        <v>1410</v>
      </c>
      <c r="F58" s="109">
        <v>150</v>
      </c>
      <c r="G58" s="110"/>
      <c r="H58" s="196">
        <f>'Табл. 1  Гос.задание(2)'!H28+'Табл. 2 Иные цели(2)'!H28+'Табл. 5 ОМС'!H28+'Табл. 4.3 платные ВСЕГО '!H28</f>
        <v>11173919.380000001</v>
      </c>
      <c r="I58" s="196"/>
      <c r="J58" s="196"/>
      <c r="K58" s="194">
        <f>'Табл. 1  Гос.задание(2)'!H28+'Табл. 2 Иные цели(2)'!H28+'Табл. 5 ОМС'!H28+'Табл. 4.3 платные ВСЕГО '!H28</f>
        <v>11173919.380000001</v>
      </c>
      <c r="L58" s="195">
        <f>K58-H58</f>
        <v>0</v>
      </c>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row>
    <row r="59" spans="1:75" s="28" customFormat="1" ht="11.1" customHeight="1" x14ac:dyDescent="0.25">
      <c r="A59" s="323" t="s">
        <v>26</v>
      </c>
      <c r="B59" s="324"/>
      <c r="C59" s="324"/>
      <c r="D59" s="325"/>
      <c r="E59" s="109">
        <v>1420</v>
      </c>
      <c r="F59" s="109">
        <v>150</v>
      </c>
      <c r="G59" s="110"/>
      <c r="H59" s="196">
        <f>'Табл. 1  Гос.задание(2)'!H29+'Табл. 2 Иные цели(2)'!H29+'Табл. 5 ОМС'!H29+'Табл. 4.3 платные ВСЕГО '!H29</f>
        <v>11980000</v>
      </c>
      <c r="I59" s="196">
        <v>14800000</v>
      </c>
      <c r="J59" s="196"/>
      <c r="K59" s="194">
        <f>'Табл. 1  Гос.задание(2)'!H29+'Табл. 2 Иные цели(2)'!H29+'Табл. 5 ОМС'!H29+'Табл. 4.3 платные ВСЕГО '!H29</f>
        <v>11980000</v>
      </c>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row>
    <row r="60" spans="1:75" s="28" customFormat="1" ht="26.25" customHeight="1" x14ac:dyDescent="0.25">
      <c r="A60" s="323" t="s">
        <v>395</v>
      </c>
      <c r="B60" s="324"/>
      <c r="C60" s="324"/>
      <c r="D60" s="325"/>
      <c r="E60" s="109">
        <v>1430</v>
      </c>
      <c r="F60" s="109">
        <v>150</v>
      </c>
      <c r="G60" s="109">
        <v>152</v>
      </c>
      <c r="H60" s="196">
        <f>'Табл. 5 ОМС'!N30</f>
        <v>3227221.83</v>
      </c>
      <c r="I60" s="196"/>
      <c r="J60" s="196"/>
      <c r="K60" s="194">
        <f>'Табл. 1  Гос.задание(2)'!H30+'Табл. 2 Иные цели(2)'!H30+'Табл. 5 ОМС'!H30+'Табл. 4.3 платные ВСЕГО '!H30</f>
        <v>3527221.83</v>
      </c>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row>
    <row r="61" spans="1:75" s="28" customFormat="1" ht="17.25" customHeight="1" x14ac:dyDescent="0.25">
      <c r="A61" s="319" t="s">
        <v>388</v>
      </c>
      <c r="B61" s="319"/>
      <c r="C61" s="319"/>
      <c r="D61" s="319"/>
      <c r="E61" s="238">
        <v>1430</v>
      </c>
      <c r="F61" s="225">
        <v>150</v>
      </c>
      <c r="G61" s="109">
        <v>155</v>
      </c>
      <c r="H61" s="196">
        <f>'Табл. 4.3 платные ВСЕГО '!H30</f>
        <v>300000</v>
      </c>
      <c r="I61" s="196">
        <f>'Табл. 4.3 платные ВСЕГО '!I30</f>
        <v>0</v>
      </c>
      <c r="J61" s="196">
        <f>'Табл. 4.3 платные ВСЕГО '!J30</f>
        <v>0</v>
      </c>
      <c r="K61" s="194">
        <f>'Табл. 1  Гос.задание(2)'!H31+'Табл. 2 Иные цели(2)'!H31+'Табл. 5 ОМС'!H31+'Табл. 4.3 платные ВСЕГО '!H31</f>
        <v>0</v>
      </c>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row>
    <row r="62" spans="1:75" s="28" customFormat="1" ht="14.25" customHeight="1" x14ac:dyDescent="0.25">
      <c r="A62" s="318" t="s">
        <v>110</v>
      </c>
      <c r="B62" s="318"/>
      <c r="C62" s="318"/>
      <c r="D62" s="318"/>
      <c r="E62" s="237">
        <v>1500</v>
      </c>
      <c r="F62" s="124">
        <v>180</v>
      </c>
      <c r="G62" s="124"/>
      <c r="H62" s="211">
        <f>SUM(H64:H65)</f>
        <v>0</v>
      </c>
      <c r="I62" s="211">
        <f>SUM(I64:I65)</f>
        <v>0</v>
      </c>
      <c r="J62" s="211">
        <f>SUM(J64:J65)</f>
        <v>0</v>
      </c>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row>
    <row r="63" spans="1:75" s="28" customFormat="1" ht="11.1" customHeight="1" x14ac:dyDescent="0.25">
      <c r="A63" s="316" t="s">
        <v>24</v>
      </c>
      <c r="B63" s="316"/>
      <c r="C63" s="316"/>
      <c r="D63" s="316"/>
      <c r="E63" s="109"/>
      <c r="F63" s="109"/>
      <c r="G63" s="109"/>
      <c r="H63" s="196"/>
      <c r="I63" s="196"/>
      <c r="J63" s="196"/>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75" s="28" customFormat="1" ht="15.75" customHeight="1" x14ac:dyDescent="0.25">
      <c r="A64" s="316"/>
      <c r="B64" s="316"/>
      <c r="C64" s="316"/>
      <c r="D64" s="316"/>
      <c r="E64" s="249">
        <v>1510</v>
      </c>
      <c r="F64" s="109">
        <v>180</v>
      </c>
      <c r="G64" s="110"/>
      <c r="H64" s="196">
        <f>'Табл. 2 Иные цели(2)'!H32</f>
        <v>0</v>
      </c>
      <c r="I64" s="191">
        <f>'Табл. 2 Иные цели(2)'!I32</f>
        <v>0</v>
      </c>
      <c r="J64" s="191">
        <f>'Табл. 2 Иные цели(2)'!J32</f>
        <v>0</v>
      </c>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row>
    <row r="65" spans="1:75" s="28" customFormat="1" ht="15.75" customHeight="1" x14ac:dyDescent="0.25">
      <c r="A65" s="316"/>
      <c r="B65" s="316"/>
      <c r="C65" s="316"/>
      <c r="D65" s="316"/>
      <c r="E65" s="249">
        <v>1520</v>
      </c>
      <c r="F65" s="109">
        <v>180</v>
      </c>
      <c r="G65" s="110"/>
      <c r="H65" s="196"/>
      <c r="I65" s="191"/>
      <c r="J65" s="19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row>
    <row r="66" spans="1:75" s="28" customFormat="1" ht="15" customHeight="1" x14ac:dyDescent="0.25">
      <c r="A66" s="316" t="s">
        <v>112</v>
      </c>
      <c r="B66" s="316"/>
      <c r="C66" s="316"/>
      <c r="D66" s="316"/>
      <c r="E66" s="249">
        <v>1900</v>
      </c>
      <c r="F66" s="110"/>
      <c r="G66" s="110"/>
      <c r="H66" s="196"/>
      <c r="I66" s="191"/>
      <c r="J66" s="19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28" customFormat="1" ht="14.25" customHeight="1" x14ac:dyDescent="0.25">
      <c r="A67" s="316" t="s">
        <v>24</v>
      </c>
      <c r="B67" s="316"/>
      <c r="C67" s="316"/>
      <c r="D67" s="316"/>
      <c r="E67" s="110"/>
      <c r="F67" s="110"/>
      <c r="G67" s="110"/>
      <c r="H67" s="196"/>
      <c r="I67" s="191"/>
      <c r="J67" s="19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28" customFormat="1" ht="11.1" customHeight="1" x14ac:dyDescent="0.25">
      <c r="A68" s="316"/>
      <c r="B68" s="316"/>
      <c r="C68" s="316"/>
      <c r="D68" s="316"/>
      <c r="E68" s="110"/>
      <c r="F68" s="110"/>
      <c r="G68" s="110"/>
      <c r="H68" s="196"/>
      <c r="I68" s="191"/>
      <c r="J68" s="19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28" customFormat="1" ht="12.75" customHeight="1" x14ac:dyDescent="0.25">
      <c r="A69" s="261" t="s">
        <v>390</v>
      </c>
      <c r="B69" s="261"/>
      <c r="C69" s="261"/>
      <c r="D69" s="261"/>
      <c r="E69" s="86">
        <v>1980</v>
      </c>
      <c r="F69" s="85" t="s">
        <v>9</v>
      </c>
      <c r="G69" s="77"/>
      <c r="H69" s="189">
        <f>H70</f>
        <v>2000</v>
      </c>
      <c r="I69" s="189">
        <f t="shared" ref="I69:J69" si="0">I70</f>
        <v>0</v>
      </c>
      <c r="J69" s="189">
        <f t="shared" si="0"/>
        <v>0</v>
      </c>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28" customFormat="1" ht="33.75" customHeight="1" x14ac:dyDescent="0.25">
      <c r="A70" s="260" t="s">
        <v>114</v>
      </c>
      <c r="B70" s="260"/>
      <c r="C70" s="260"/>
      <c r="D70" s="260"/>
      <c r="E70" s="81">
        <v>1981</v>
      </c>
      <c r="F70" s="81">
        <v>510</v>
      </c>
      <c r="G70" s="76"/>
      <c r="H70" s="196">
        <f>'Табл. 1  Гос.задание(2)'!H40+'Табл. 2 Иные цели(2)'!H40+'Табл. 3 кап вложения(2)'!H39+'Табл. 4.3 платные ВСЕГО '!H41+'Табл. 5 ОМС'!H41</f>
        <v>2000</v>
      </c>
      <c r="I70" s="191">
        <f>'Табл. 1  Гос.задание(2)'!I40+'Табл. 2 Иные цели(2)'!I40+'Табл. 3 кап вложения(2)'!I39+'Табл. 4.3 платные ВСЕГО '!I41+'Табл. 5 ОМС'!I41</f>
        <v>0</v>
      </c>
      <c r="J70" s="191">
        <f>'Табл. 1  Гос.задание(2)'!J40+'Табл. 2 Иные цели(2)'!J40+'Табл. 3 кап вложения(2)'!J39+'Табл. 4.3 платные ВСЕГО '!J41+'Табл. 5 ОМС'!J41</f>
        <v>0</v>
      </c>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28" customFormat="1" ht="15.75" customHeight="1" x14ac:dyDescent="0.25">
      <c r="A71" s="260"/>
      <c r="B71" s="260"/>
      <c r="C71" s="260"/>
      <c r="D71" s="260"/>
      <c r="E71" s="81">
        <v>1990</v>
      </c>
      <c r="F71" s="76"/>
      <c r="G71" s="76"/>
      <c r="H71" s="191"/>
      <c r="I71" s="191"/>
      <c r="J71" s="19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28" customFormat="1" ht="18.75" customHeight="1" x14ac:dyDescent="0.25">
      <c r="A72" s="317" t="s">
        <v>115</v>
      </c>
      <c r="B72" s="317"/>
      <c r="C72" s="317"/>
      <c r="D72" s="317"/>
      <c r="E72" s="187">
        <v>2000</v>
      </c>
      <c r="F72" s="187" t="s">
        <v>9</v>
      </c>
      <c r="G72" s="188"/>
      <c r="H72" s="190">
        <f>H73+H84+H92+H109+H106</f>
        <v>154798188.59999999</v>
      </c>
      <c r="I72" s="190">
        <f>I73+I84+I92+I109+0</f>
        <v>134516984.59999999</v>
      </c>
      <c r="J72" s="190">
        <f>J73+J84+J92+J109+0</f>
        <v>119906553.90000001</v>
      </c>
      <c r="K72" s="194">
        <f>'Табл. 1  Гос.задание(2)'!H42+'Табл. 2 Иные цели(2)'!H42+'Табл. 5 ОМС'!H43+'Табл. 4.3 платные ВСЕГО '!H43</f>
        <v>154798188.59999999</v>
      </c>
      <c r="L72" s="194">
        <f>K72-H72</f>
        <v>0</v>
      </c>
      <c r="M72" s="72"/>
      <c r="N72" s="194"/>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row>
    <row r="73" spans="1:75" s="28" customFormat="1" ht="22.5" customHeight="1" x14ac:dyDescent="0.25">
      <c r="A73" s="261" t="s">
        <v>116</v>
      </c>
      <c r="B73" s="261"/>
      <c r="C73" s="261"/>
      <c r="D73" s="261"/>
      <c r="E73" s="217">
        <v>2100</v>
      </c>
      <c r="F73" s="85" t="s">
        <v>9</v>
      </c>
      <c r="G73" s="77"/>
      <c r="H73" s="222">
        <f>H74+H75+H76+H77+H78+H79+H80+H81</f>
        <v>100145827.77</v>
      </c>
      <c r="I73" s="222">
        <f>I74+I75+I76+I77+I78+I79+I80+I81</f>
        <v>93077749</v>
      </c>
      <c r="J73" s="222">
        <f>J74+J75+J76+J77+J78+J79+J80+J81</f>
        <v>98892441</v>
      </c>
      <c r="K73" s="194">
        <f>'Табл. 1  Гос.задание(2)'!H43+'Табл. 2 Иные цели(2)'!H43+'Табл. 5 ОМС'!H44+'Табл. 4.3 платные ВСЕГО '!H44</f>
        <v>100145827.77</v>
      </c>
      <c r="L73" s="194">
        <f t="shared" ref="L73:L91" si="1">K73-H73</f>
        <v>0</v>
      </c>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28" customFormat="1" ht="22.5" customHeight="1" x14ac:dyDescent="0.25">
      <c r="A74" s="260" t="s">
        <v>117</v>
      </c>
      <c r="B74" s="260"/>
      <c r="C74" s="260"/>
      <c r="D74" s="260"/>
      <c r="E74" s="200">
        <v>2110</v>
      </c>
      <c r="F74" s="84" t="s">
        <v>338</v>
      </c>
      <c r="G74" s="76"/>
      <c r="H74" s="196">
        <f>'Табл. 1  Гос.задание(2)'!H44+'Табл. 2 Иные цели(2)'!H44+'Табл. 4.3 платные ВСЕГО '!H45+'Табл. 5 ОМС'!H45</f>
        <v>75985494.319999993</v>
      </c>
      <c r="I74" s="196">
        <f>'Табл. 1  Гос.задание(2)'!I44+'Табл. 2 Иные цели(2)'!I44+'Табл. 4.3 платные ВСЕГО '!I45+'Табл. 5 ОМС'!I45</f>
        <v>70924603</v>
      </c>
      <c r="J74" s="196">
        <f>'Табл. 1  Гос.задание(2)'!J44+'Табл. 2 Иные цели(2)'!J44+'Табл. 4.3 платные ВСЕГО '!J45+'Табл. 5 ОМС'!J45</f>
        <v>75413614</v>
      </c>
      <c r="K74" s="194">
        <f>'Табл. 1  Гос.задание(2)'!H44+'Табл. 2 Иные цели(2)'!H44+'Табл. 5 ОМС'!H45+'Табл. 4.3 платные ВСЕГО '!H45</f>
        <v>75985494.319999993</v>
      </c>
      <c r="L74" s="194">
        <f t="shared" si="1"/>
        <v>0</v>
      </c>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28" customFormat="1" ht="22.5" customHeight="1" x14ac:dyDescent="0.25">
      <c r="A75" s="305" t="s">
        <v>306</v>
      </c>
      <c r="B75" s="306"/>
      <c r="C75" s="306"/>
      <c r="D75" s="307"/>
      <c r="E75" s="200">
        <v>2120</v>
      </c>
      <c r="F75" s="84" t="s">
        <v>341</v>
      </c>
      <c r="G75" s="76"/>
      <c r="H75" s="191">
        <f>'Табл. 1  Гос.задание(2)'!H45+'Табл. 2 Иные цели(2)'!H45+'Табл. 4.3 платные ВСЕГО '!H46+'Табл. 5 ОМС'!H46</f>
        <v>564000</v>
      </c>
      <c r="I75" s="191">
        <f>'Табл. 1  Гос.задание(2)'!I45+'Табл. 2 Иные цели(2)'!I45+'Табл. 4.3 платные ВСЕГО '!I46+'Табл. 5 ОМС'!I46</f>
        <v>160000</v>
      </c>
      <c r="J75" s="191">
        <f>'Табл. 1  Гос.задание(2)'!J45+'Табл. 2 Иные цели(2)'!J45+'Табл. 4.3 платные ВСЕГО '!J46+'Табл. 5 ОМС'!J46</f>
        <v>160000</v>
      </c>
      <c r="K75" s="194">
        <f>'Табл. 1  Гос.задание(2)'!H45+'Табл. 2 Иные цели(2)'!H45+'Табл. 5 ОМС'!H46+'Табл. 4.3 платные ВСЕГО '!H46</f>
        <v>564000</v>
      </c>
      <c r="L75" s="194">
        <f t="shared" si="1"/>
        <v>0</v>
      </c>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28" customFormat="1" ht="19.5" customHeight="1" x14ac:dyDescent="0.25">
      <c r="A76" s="260" t="s">
        <v>345</v>
      </c>
      <c r="B76" s="260"/>
      <c r="C76" s="260"/>
      <c r="D76" s="260"/>
      <c r="E76" s="200">
        <v>2120</v>
      </c>
      <c r="F76" s="84" t="s">
        <v>342</v>
      </c>
      <c r="G76" s="76"/>
      <c r="H76" s="191">
        <f>'Табл. 1  Гос.задание(2)'!H46+'Табл. 2 Иные цели(2)'!H46+'Табл. 4.3 платные ВСЕГО '!H47+'Табл. 5 ОМС'!H47</f>
        <v>183600</v>
      </c>
      <c r="I76" s="191">
        <f>'Табл. 1  Гос.задание(2)'!I46+'Табл. 2 Иные цели(2)'!I46+'Табл. 4.3 платные ВСЕГО '!I47+'Табл. 5 ОМС'!I47</f>
        <v>180000</v>
      </c>
      <c r="J76" s="191">
        <f>'Табл. 1  Гос.задание(2)'!J46+'Табл. 2 Иные цели(2)'!J46+'Табл. 4.3 платные ВСЕГО '!J47+'Табл. 5 ОМС'!J47</f>
        <v>180000</v>
      </c>
      <c r="K76" s="194">
        <f>'Табл. 1  Гос.задание(2)'!H46+'Табл. 2 Иные цели(2)'!H46+'Табл. 5 ОМС'!H47+'Табл. 4.3 платные ВСЕГО '!H47</f>
        <v>183600</v>
      </c>
      <c r="L76" s="194">
        <f t="shared" si="1"/>
        <v>0</v>
      </c>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28" customFormat="1" ht="19.5" customHeight="1" x14ac:dyDescent="0.25">
      <c r="A77" s="305" t="s">
        <v>344</v>
      </c>
      <c r="B77" s="306"/>
      <c r="C77" s="306"/>
      <c r="D77" s="307"/>
      <c r="E77" s="200"/>
      <c r="F77" s="84" t="s">
        <v>343</v>
      </c>
      <c r="G77" s="76"/>
      <c r="H77" s="191">
        <f>'Табл. 1  Гос.задание(2)'!H47+'Табл. 2 Иные цели(2)'!H47+'Табл. 4.3 платные ВСЕГО '!H48+'Табл. 5 ОМС'!H48</f>
        <v>176000</v>
      </c>
      <c r="I77" s="191">
        <f>'Табл. 1  Гос.задание(2)'!I47+'Табл. 2 Иные цели(2)'!I47+'Табл. 4.3 платные ВСЕГО '!I48+'Табл. 5 ОМС'!I48</f>
        <v>100000</v>
      </c>
      <c r="J77" s="191">
        <f>'Табл. 1  Гос.задание(2)'!J47+'Табл. 2 Иные цели(2)'!J47+'Табл. 4.3 платные ВСЕГО '!J48+'Табл. 5 ОМС'!J48</f>
        <v>100000</v>
      </c>
      <c r="K77" s="194">
        <f>'Табл. 1  Гос.задание(2)'!H47+'Табл. 2 Иные цели(2)'!H47+'Табл. 5 ОМС'!H48+'Табл. 4.3 платные ВСЕГО '!H48</f>
        <v>176000</v>
      </c>
      <c r="L77" s="194">
        <f t="shared" si="1"/>
        <v>0</v>
      </c>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28" customFormat="1" ht="19.5" customHeight="1" x14ac:dyDescent="0.25">
      <c r="A78" s="305" t="s">
        <v>118</v>
      </c>
      <c r="B78" s="306"/>
      <c r="C78" s="306"/>
      <c r="D78" s="307"/>
      <c r="E78" s="200"/>
      <c r="F78" s="84" t="s">
        <v>339</v>
      </c>
      <c r="G78" s="76"/>
      <c r="H78" s="191">
        <f>'Табл. 1  Гос.задание(2)'!H48+'Табл. 2 Иные цели(2)'!H48+'Табл. 4.3 платные ВСЕГО '!H49+'Табл. 5 ОМС'!H49</f>
        <v>281600</v>
      </c>
      <c r="I78" s="191">
        <f>'Табл. 1  Гос.задание(2)'!I48+'Табл. 2 Иные цели(2)'!I48+'Табл. 4.3 платные ВСЕГО '!I49+'Табл. 5 ОМС'!I49</f>
        <v>280500</v>
      </c>
      <c r="J78" s="191">
        <f>'Табл. 1  Гос.задание(2)'!J48+'Табл. 2 Иные цели(2)'!J48+'Табл. 4.3 платные ВСЕГО '!J49+'Табл. 5 ОМС'!J49</f>
        <v>280500</v>
      </c>
      <c r="K78" s="194">
        <f>'Табл. 1  Гос.задание(2)'!H48+'Табл. 2 Иные цели(2)'!H48+'Табл. 5 ОМС'!H49+'Табл. 4.3 платные ВСЕГО '!H49</f>
        <v>281600</v>
      </c>
      <c r="L78" s="194">
        <f t="shared" si="1"/>
        <v>0</v>
      </c>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28" customFormat="1" ht="19.5" customHeight="1" x14ac:dyDescent="0.25">
      <c r="A79" s="305" t="s">
        <v>300</v>
      </c>
      <c r="B79" s="306"/>
      <c r="C79" s="306"/>
      <c r="D79" s="307"/>
      <c r="E79" s="200"/>
      <c r="F79" s="84" t="s">
        <v>340</v>
      </c>
      <c r="G79" s="76"/>
      <c r="H79" s="191">
        <f>'Табл. 1  Гос.задание(2)'!H49+'Табл. 2 Иные цели(2)'!H49+'Табл. 4.3 платные ВСЕГО '!H50+'Табл. 5 ОМС'!H50</f>
        <v>6450</v>
      </c>
      <c r="I79" s="191">
        <f>'Табл. 1  Гос.задание(2)'!I49+'Табл. 2 Иные цели(2)'!I49+'Табл. 4.3 платные ВСЕГО '!I50+'Табл. 5 ОМС'!I50</f>
        <v>3450</v>
      </c>
      <c r="J79" s="191">
        <f>'Табл. 1  Гос.задание(2)'!J49+'Табл. 2 Иные цели(2)'!J49+'Табл. 4.3 платные ВСЕГО '!J50+'Табл. 5 ОМС'!J50</f>
        <v>3450</v>
      </c>
      <c r="K79" s="194">
        <f>'Табл. 1  Гос.задание(2)'!H49+'Табл. 2 Иные цели(2)'!H49+'Табл. 5 ОМС'!H50+'Табл. 4.3 платные ВСЕГО '!H50</f>
        <v>6450</v>
      </c>
      <c r="L79" s="194">
        <f t="shared" si="1"/>
        <v>0</v>
      </c>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28" customFormat="1" ht="22.5" customHeight="1" x14ac:dyDescent="0.25">
      <c r="A80" s="260" t="s">
        <v>119</v>
      </c>
      <c r="B80" s="260"/>
      <c r="C80" s="260"/>
      <c r="D80" s="260"/>
      <c r="E80" s="200">
        <v>2130</v>
      </c>
      <c r="F80" s="84">
        <v>113</v>
      </c>
      <c r="G80" s="76"/>
      <c r="H80" s="191">
        <f>'Табл. 1  Гос.задание(2)'!H50+'Табл. 2 Иные цели(2)'!H50+'Табл. 4.3 платные ВСЕГО '!H51+'Табл. 5 ОМС'!H51</f>
        <v>0</v>
      </c>
      <c r="I80" s="191">
        <f>'Табл. 1  Гос.задание(2)'!I50+'Табл. 2 Иные цели(2)'!I50+'Табл. 4.3 платные ВСЕГО '!I51+'Табл. 5 ОМС'!I51</f>
        <v>0</v>
      </c>
      <c r="J80" s="191">
        <f>'Табл. 1  Гос.задание(2)'!J50+'Табл. 2 Иные цели(2)'!J50+'Табл. 4.3 платные ВСЕГО '!J51+'Табл. 5 ОМС'!J51</f>
        <v>0</v>
      </c>
      <c r="K80" s="194">
        <f>'Табл. 1  Гос.задание(2)'!H50+'Табл. 2 Иные цели(2)'!H50+'Табл. 5 ОМС'!H51+'Табл. 4.3 платные ВСЕГО '!H51</f>
        <v>0</v>
      </c>
      <c r="L80" s="194">
        <f t="shared" si="1"/>
        <v>0</v>
      </c>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28" customFormat="1" ht="22.5" customHeight="1" x14ac:dyDescent="0.25">
      <c r="A81" s="260" t="s">
        <v>120</v>
      </c>
      <c r="B81" s="260"/>
      <c r="C81" s="260"/>
      <c r="D81" s="260"/>
      <c r="E81" s="200">
        <v>2140</v>
      </c>
      <c r="F81" s="84">
        <v>119</v>
      </c>
      <c r="G81" s="76"/>
      <c r="H81" s="191">
        <f>'Табл. 1  Гос.задание(2)'!H51+'Табл. 2 Иные цели(2)'!H51+'Табл. 4.3 платные ВСЕГО '!H52+'Табл. 5 ОМС'!H52</f>
        <v>22948683.449999999</v>
      </c>
      <c r="I81" s="191">
        <f>'Табл. 1  Гос.задание(2)'!I51+'Табл. 2 Иные цели(2)'!I51+'Табл. 4.3 платные ВСЕГО '!I52+'Табл. 5 ОМС'!I52</f>
        <v>21429196</v>
      </c>
      <c r="J81" s="191">
        <f>'Табл. 1  Гос.задание(2)'!J51+'Табл. 2 Иные цели(2)'!J51+'Табл. 4.3 платные ВСЕГО '!J52+'Табл. 5 ОМС'!J52</f>
        <v>22754877</v>
      </c>
      <c r="K81" s="194">
        <f>'Табл. 1  Гос.задание(2)'!H51+'Табл. 2 Иные цели(2)'!H51+'Табл. 5 ОМС'!H52+'Табл. 4.3 платные ВСЕГО '!H52</f>
        <v>22948683.449999999</v>
      </c>
      <c r="L81" s="194">
        <f t="shared" si="1"/>
        <v>0</v>
      </c>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28" customFormat="1" ht="22.5" customHeight="1" x14ac:dyDescent="0.25">
      <c r="A82" s="260" t="s">
        <v>121</v>
      </c>
      <c r="B82" s="260"/>
      <c r="C82" s="260"/>
      <c r="D82" s="260"/>
      <c r="E82" s="200">
        <v>2141</v>
      </c>
      <c r="F82" s="84" t="s">
        <v>346</v>
      </c>
      <c r="G82" s="76"/>
      <c r="H82" s="191">
        <f>'Табл. 1  Гос.задание(2)'!H52+'Табл. 2 Иные цели(2)'!H52+'Табл. 4.3 платные ВСЕГО '!H53+'Табл. 5 ОМС'!H53</f>
        <v>22945669.59</v>
      </c>
      <c r="I82" s="191">
        <f>'Табл. 1  Гос.задание(2)'!I52+'Табл. 2 Иные цели(2)'!I52+'Табл. 4.3 платные ВСЕГО '!I53+'Табл. 5 ОМС'!I53</f>
        <v>21429196</v>
      </c>
      <c r="J82" s="191">
        <f>'Табл. 1  Гос.задание(2)'!J52+'Табл. 2 Иные цели(2)'!J52+'Табл. 4.3 платные ВСЕГО '!J53+'Табл. 5 ОМС'!J53</f>
        <v>22754877</v>
      </c>
      <c r="K82" s="194">
        <f>'Табл. 1  Гос.задание(2)'!H52+'Табл. 2 Иные цели(2)'!H52+'Табл. 5 ОМС'!H53+'Табл. 4.3 платные ВСЕГО '!H53</f>
        <v>22945669.59</v>
      </c>
      <c r="L82" s="194">
        <f t="shared" si="1"/>
        <v>0</v>
      </c>
      <c r="M82" s="71"/>
      <c r="N82" s="195"/>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28" customFormat="1" ht="15.75" customHeight="1" x14ac:dyDescent="0.25">
      <c r="A83" s="260" t="s">
        <v>122</v>
      </c>
      <c r="B83" s="260"/>
      <c r="C83" s="260"/>
      <c r="D83" s="260"/>
      <c r="E83" s="200">
        <v>2142</v>
      </c>
      <c r="F83" s="84" t="s">
        <v>385</v>
      </c>
      <c r="G83" s="76"/>
      <c r="H83" s="191">
        <f>'Табл. 1  Гос.задание(2)'!H53+'Табл. 2 Иные цели(2)'!H53+'Табл. 4.3 платные ВСЕГО '!H54+'Табл. 5 ОМС'!H54</f>
        <v>3013.86</v>
      </c>
      <c r="I83" s="191">
        <f>'Табл. 1  Гос.задание(2)'!I53+'Табл. 2 Иные цели(2)'!I53+'Табл. 4.3 платные ВСЕГО '!I54+'Табл. 5 ОМС'!I54</f>
        <v>0</v>
      </c>
      <c r="J83" s="191">
        <f>'Табл. 1  Гос.задание(2)'!J53+'Табл. 2 Иные цели(2)'!J53+'Табл. 4.3 платные ВСЕГО '!J54+'Табл. 5 ОМС'!J54</f>
        <v>0</v>
      </c>
      <c r="K83" s="194">
        <f>'Табл. 1  Гос.задание(2)'!H53+'Табл. 2 Иные цели(2)'!H53+'Табл. 5 ОМС'!H54+'Табл. 4.3 платные ВСЕГО '!H54</f>
        <v>3013.86</v>
      </c>
      <c r="L83" s="194">
        <f t="shared" si="1"/>
        <v>0</v>
      </c>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28" customFormat="1" ht="18.75" customHeight="1" x14ac:dyDescent="0.25">
      <c r="A84" s="260" t="s">
        <v>123</v>
      </c>
      <c r="B84" s="260"/>
      <c r="C84" s="260"/>
      <c r="D84" s="260"/>
      <c r="E84" s="226">
        <v>2200</v>
      </c>
      <c r="F84" s="124">
        <v>300</v>
      </c>
      <c r="G84" s="210"/>
      <c r="H84" s="211">
        <f>H85+H89+H90</f>
        <v>445511.69</v>
      </c>
      <c r="I84" s="211">
        <f>I85+I89+I90</f>
        <v>48090</v>
      </c>
      <c r="J84" s="211">
        <f>J85+J89+J90</f>
        <v>48090</v>
      </c>
      <c r="K84" s="253">
        <f>'Табл. 1  Гос.задание(2)'!H54+'Табл. 2 Иные цели(2)'!H54+'Табл. 5 ОМС'!H55+'Табл. 4.3 платные ВСЕГО '!H55</f>
        <v>205511.69</v>
      </c>
      <c r="L84" s="253">
        <f t="shared" si="1"/>
        <v>-240000</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28" customFormat="1" ht="21.75" customHeight="1" x14ac:dyDescent="0.25">
      <c r="A85" s="260" t="s">
        <v>124</v>
      </c>
      <c r="B85" s="260"/>
      <c r="C85" s="260"/>
      <c r="D85" s="260"/>
      <c r="E85" s="225">
        <v>2210</v>
      </c>
      <c r="F85" s="109">
        <v>320</v>
      </c>
      <c r="G85" s="110"/>
      <c r="H85" s="196">
        <f>SUM(H86:H88)</f>
        <v>445511.69</v>
      </c>
      <c r="I85" s="196">
        <f>'Табл. 1  Гос.задание(2)'!I55+'Табл. 2 Иные цели(2)'!I55+'Табл. 4.3 платные ВСЕГО '!I56+'Табл. 5 ОМС'!I56</f>
        <v>48090</v>
      </c>
      <c r="J85" s="196">
        <f>'Табл. 1  Гос.задание(2)'!J55+'Табл. 2 Иные цели(2)'!J55+'Табл. 4.3 платные ВСЕГО '!J56+'Табл. 5 ОМС'!J56</f>
        <v>48090</v>
      </c>
      <c r="K85" s="253">
        <f>'Табл. 1  Гос.задание(2)'!H55+'Табл. 2 Иные цели(2)'!H55+'Табл. 5 ОМС'!H56+'Табл. 4.3 платные ВСЕГО '!H56</f>
        <v>205511.69</v>
      </c>
      <c r="L85" s="253">
        <f t="shared" si="1"/>
        <v>-240000</v>
      </c>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28" customFormat="1" ht="21.75" customHeight="1" x14ac:dyDescent="0.25">
      <c r="A86" s="305" t="s">
        <v>437</v>
      </c>
      <c r="B86" s="306"/>
      <c r="C86" s="306"/>
      <c r="D86" s="307"/>
      <c r="E86" s="225">
        <v>2211</v>
      </c>
      <c r="F86" s="109" t="s">
        <v>436</v>
      </c>
      <c r="G86" s="110"/>
      <c r="H86" s="196">
        <f>'Табл. 2 Иные цели(2)'!H56</f>
        <v>240000</v>
      </c>
      <c r="I86" s="196">
        <f>'Табл. 2 Иные цели(2)'!I56</f>
        <v>0</v>
      </c>
      <c r="J86" s="196">
        <f>'Табл. 2 Иные цели(2)'!J56</f>
        <v>0</v>
      </c>
      <c r="K86" s="253"/>
      <c r="L86" s="253"/>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28" customFormat="1" ht="33.75" customHeight="1" x14ac:dyDescent="0.25">
      <c r="A87" s="260" t="s">
        <v>125</v>
      </c>
      <c r="B87" s="260"/>
      <c r="C87" s="260"/>
      <c r="D87" s="260"/>
      <c r="E87" s="225">
        <v>2212</v>
      </c>
      <c r="F87" s="109" t="s">
        <v>384</v>
      </c>
      <c r="G87" s="110"/>
      <c r="H87" s="196">
        <f>'Табл. 1  Гос.задание(2)'!H56++'Табл. 4.3 платные ВСЕГО '!H57+'Табл. 5 ОМС'!H57</f>
        <v>64674</v>
      </c>
      <c r="I87" s="196">
        <f>'Табл. 1  Гос.задание(2)'!I56+'Табл. 2 Иные цели(2)'!I56+'Табл. 4.3 платные ВСЕГО '!I57+'Табл. 5 ОМС'!I57</f>
        <v>0</v>
      </c>
      <c r="J87" s="196">
        <f>'Табл. 1  Гос.задание(2)'!J56+'Табл. 2 Иные цели(2)'!J56+'Табл. 4.3 платные ВСЕГО '!J57+'Табл. 5 ОМС'!J57</f>
        <v>0</v>
      </c>
      <c r="K87" s="253">
        <f>'Табл. 1  Гос.задание(2)'!H56+'Табл. 2 Иные цели(2)'!H56+'Табл. 5 ОМС'!H57+'Табл. 4.3 платные ВСЕГО '!H57</f>
        <v>304674</v>
      </c>
      <c r="L87" s="253">
        <f t="shared" si="1"/>
        <v>240000</v>
      </c>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28" customFormat="1" ht="25.5" customHeight="1" x14ac:dyDescent="0.25">
      <c r="A88" s="260" t="s">
        <v>319</v>
      </c>
      <c r="B88" s="260"/>
      <c r="C88" s="260"/>
      <c r="D88" s="260"/>
      <c r="E88" s="225">
        <v>2213</v>
      </c>
      <c r="F88" s="109" t="s">
        <v>367</v>
      </c>
      <c r="G88" s="110"/>
      <c r="H88" s="196">
        <f>'Табл. 1  Гос.задание(2)'!H57+'Табл. 2 Иные цели(2)'!H57+'Табл. 4.3 платные ВСЕГО '!H58+'Табл. 5 ОМС'!H58</f>
        <v>140837.69</v>
      </c>
      <c r="I88" s="196">
        <f>'Табл. 1  Гос.задание(2)'!I57+'Табл. 2 Иные цели(2)'!I57+'Табл. 4.3 платные ВСЕГО '!I58+'Табл. 5 ОМС'!I58</f>
        <v>48090</v>
      </c>
      <c r="J88" s="196">
        <f>'Табл. 1  Гос.задание(2)'!J57+'Табл. 2 Иные цели(2)'!J57+'Табл. 4.3 платные ВСЕГО '!J58+'Табл. 5 ОМС'!J58</f>
        <v>48090</v>
      </c>
      <c r="K88" s="194">
        <f>'Табл. 1  Гос.задание(2)'!H57+'Табл. 2 Иные цели(2)'!H57+'Табл. 5 ОМС'!H58+'Табл. 4.3 платные ВСЕГО '!H58</f>
        <v>140837.69</v>
      </c>
      <c r="L88" s="194">
        <f t="shared" si="1"/>
        <v>0</v>
      </c>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28" customFormat="1" ht="27.75" customHeight="1" x14ac:dyDescent="0.25">
      <c r="A89" s="260" t="s">
        <v>126</v>
      </c>
      <c r="B89" s="260"/>
      <c r="C89" s="260"/>
      <c r="D89" s="260"/>
      <c r="E89" s="200">
        <v>2220</v>
      </c>
      <c r="F89" s="84">
        <v>340</v>
      </c>
      <c r="G89" s="76"/>
      <c r="H89" s="191">
        <f>'Табл. 1  Гос.задание(2)'!H58+'Табл. 2 Иные цели(2)'!H58+'Табл. 4.3 платные ВСЕГО '!H59+'Табл. 5 ОМС'!H59</f>
        <v>0</v>
      </c>
      <c r="I89" s="191">
        <f>'Табл. 1  Гос.задание(2)'!I58+'Табл. 2 Иные цели(2)'!I58+'Табл. 4.3 платные ВСЕГО '!I59+'Табл. 5 ОМС'!I59</f>
        <v>0</v>
      </c>
      <c r="J89" s="191">
        <f>'Табл. 1  Гос.задание(2)'!J58+'Табл. 2 Иные цели(2)'!J58+'Табл. 4.3 платные ВСЕГО '!J59+'Табл. 5 ОМС'!J59</f>
        <v>0</v>
      </c>
      <c r="K89" s="194">
        <f>'Табл. 1  Гос.задание(2)'!H58+'Табл. 2 Иные цели(2)'!H58+'Табл. 5 ОМС'!H59+'Табл. 4.3 платные ВСЕГО '!H59</f>
        <v>0</v>
      </c>
      <c r="L89" s="194">
        <f t="shared" si="1"/>
        <v>0</v>
      </c>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28" customFormat="1" ht="55.5" customHeight="1" x14ac:dyDescent="0.25">
      <c r="A90" s="260" t="s">
        <v>127</v>
      </c>
      <c r="B90" s="260"/>
      <c r="C90" s="260"/>
      <c r="D90" s="260"/>
      <c r="E90" s="200">
        <v>2230</v>
      </c>
      <c r="F90" s="84">
        <v>350</v>
      </c>
      <c r="G90" s="76"/>
      <c r="H90" s="191">
        <f>'Табл. 1  Гос.задание(2)'!H59+'Табл. 2 Иные цели(2)'!H59+'Табл. 4.3 платные ВСЕГО '!H60+'Табл. 5 ОМС'!H60</f>
        <v>0</v>
      </c>
      <c r="I90" s="191">
        <f>'Табл. 1  Гос.задание(2)'!I59+'Табл. 2 Иные цели(2)'!I59+'Табл. 4.3 платные ВСЕГО '!I60+'Табл. 5 ОМС'!I60</f>
        <v>0</v>
      </c>
      <c r="J90" s="191">
        <f>'Табл. 1  Гос.задание(2)'!J59+'Табл. 2 Иные цели(2)'!J59+'Табл. 4.3 платные ВСЕГО '!J60+'Табл. 5 ОМС'!J60</f>
        <v>0</v>
      </c>
      <c r="K90" s="194">
        <f>'Табл. 1  Гос.задание(2)'!H59+'Табл. 2 Иные цели(2)'!H59+'Табл. 5 ОМС'!H60+'Табл. 4.3 платные ВСЕГО '!H60</f>
        <v>0</v>
      </c>
      <c r="L90" s="194">
        <f t="shared" si="1"/>
        <v>0</v>
      </c>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28" customFormat="1" ht="26.25" customHeight="1" x14ac:dyDescent="0.25">
      <c r="A91" s="260" t="s">
        <v>406</v>
      </c>
      <c r="B91" s="260"/>
      <c r="C91" s="260"/>
      <c r="D91" s="260"/>
      <c r="E91" s="200">
        <v>2240</v>
      </c>
      <c r="F91" s="84">
        <v>360</v>
      </c>
      <c r="G91" s="76"/>
      <c r="H91" s="191">
        <f>'Табл. 1  Гос.задание(2)'!H60+'Табл. 2 Иные цели(2)'!H60+'Табл. 4.3 платные ВСЕГО '!H61+'Табл. 5 ОМС'!H61</f>
        <v>0</v>
      </c>
      <c r="I91" s="191">
        <f>'Табл. 1  Гос.задание(2)'!I60+'Табл. 2 Иные цели(2)'!I60+'Табл. 4.3 платные ВСЕГО '!I61+'Табл. 5 ОМС'!I61</f>
        <v>0</v>
      </c>
      <c r="J91" s="191">
        <f>'Табл. 1  Гос.задание(2)'!J60+'Табл. 2 Иные цели(2)'!J60+'Табл. 4.3 платные ВСЕГО '!J61+'Табл. 5 ОМС'!J61</f>
        <v>0</v>
      </c>
      <c r="K91" s="194">
        <f>'Табл. 1  Гос.задание(2)'!H60+'Табл. 2 Иные цели(2)'!H60+'Табл. 5 ОМС'!H61+'Табл. 4.3 платные ВСЕГО '!H61</f>
        <v>0</v>
      </c>
      <c r="L91" s="194">
        <f t="shared" si="1"/>
        <v>0</v>
      </c>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28" customFormat="1" ht="19.5" customHeight="1" x14ac:dyDescent="0.25">
      <c r="A92" s="261" t="s">
        <v>129</v>
      </c>
      <c r="B92" s="261"/>
      <c r="C92" s="261"/>
      <c r="D92" s="261"/>
      <c r="E92" s="217">
        <v>2300</v>
      </c>
      <c r="F92" s="85">
        <v>850</v>
      </c>
      <c r="G92" s="77"/>
      <c r="H92" s="222">
        <f>SUM(H93:H98)</f>
        <v>1279462.05</v>
      </c>
      <c r="I92" s="222">
        <f>SUM(I93:I98)</f>
        <v>962463</v>
      </c>
      <c r="J92" s="222">
        <f>SUM(J93:J98)</f>
        <v>912463</v>
      </c>
      <c r="K92" s="194">
        <f>'Табл. 1  Гос.задание(2)'!H61+'Табл. 2 Иные цели(2)'!H61+'Табл. 5 ОМС'!H62+'Табл. 4.3 платные ВСЕГО '!H62</f>
        <v>1279462.05</v>
      </c>
      <c r="L92" s="194">
        <f t="shared" ref="L92:L137" si="2">K92-H92</f>
        <v>0</v>
      </c>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28" customFormat="1" ht="32.25" customHeight="1" x14ac:dyDescent="0.25">
      <c r="A93" s="260" t="s">
        <v>130</v>
      </c>
      <c r="B93" s="260"/>
      <c r="C93" s="260"/>
      <c r="D93" s="260"/>
      <c r="E93" s="200">
        <v>2310</v>
      </c>
      <c r="F93" s="84" t="s">
        <v>383</v>
      </c>
      <c r="G93" s="76"/>
      <c r="H93" s="191">
        <f>'Табл. 1  Гос.задание(2)'!H62+'Табл. 2 Иные цели(2)'!H62+'Табл. 4.3 платные ВСЕГО '!H63+'Табл. 5 ОМС'!H63</f>
        <v>193739</v>
      </c>
      <c r="I93" s="191">
        <f>'Табл. 1  Гос.задание(2)'!I62+'Табл. 2 Иные цели(2)'!I62+'Табл. 4.3 платные ВСЕГО '!I63+'Табл. 5 ОМС'!I63</f>
        <v>222463</v>
      </c>
      <c r="J93" s="191">
        <f>'Табл. 1  Гос.задание(2)'!J62+'Табл. 2 Иные цели(2)'!J62+'Табл. 4.3 платные ВСЕГО '!J63+'Табл. 5 ОМС'!J63</f>
        <v>202463</v>
      </c>
      <c r="K93" s="194">
        <f>'Табл. 1  Гос.задание(2)'!H62+'Табл. 2 Иные цели(2)'!H62+'Табл. 5 ОМС'!H63+'Табл. 4.3 платные ВСЕГО '!H63</f>
        <v>193739</v>
      </c>
      <c r="L93" s="194">
        <f t="shared" si="2"/>
        <v>0</v>
      </c>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28" customFormat="1" ht="32.25" customHeight="1" x14ac:dyDescent="0.25">
      <c r="A94" s="260" t="s">
        <v>131</v>
      </c>
      <c r="B94" s="260"/>
      <c r="C94" s="260"/>
      <c r="D94" s="260"/>
      <c r="E94" s="200">
        <v>2320</v>
      </c>
      <c r="F94" s="84" t="s">
        <v>347</v>
      </c>
      <c r="G94" s="76"/>
      <c r="H94" s="191">
        <f>'Табл. 1  Гос.задание(2)'!H63+'Табл. 2 Иные цели(2)'!H63+'Табл. 4.3 платные ВСЕГО '!H64+'Табл. 5 ОМС'!H64</f>
        <v>120000</v>
      </c>
      <c r="I94" s="191">
        <f>'Табл. 1  Гос.задание(2)'!I63+'Табл. 2 Иные цели(2)'!I63+'Табл. 4.3 платные ВСЕГО '!I64+'Табл. 5 ОМС'!I64</f>
        <v>90000</v>
      </c>
      <c r="J94" s="191">
        <f>'Табл. 1  Гос.задание(2)'!J63+'Табл. 2 Иные цели(2)'!J63+'Табл. 4.3 платные ВСЕГО '!J64+'Табл. 5 ОМС'!J64</f>
        <v>90000</v>
      </c>
      <c r="K94" s="194">
        <f>'Табл. 1  Гос.задание(2)'!H63+'Табл. 2 Иные цели(2)'!H63+'Табл. 5 ОМС'!H64+'Табл. 4.3 платные ВСЕГО '!H64</f>
        <v>120000</v>
      </c>
      <c r="L94" s="194">
        <f t="shared" si="2"/>
        <v>0</v>
      </c>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28" customFormat="1" ht="32.25" customHeight="1" x14ac:dyDescent="0.25">
      <c r="A95" s="319" t="s">
        <v>132</v>
      </c>
      <c r="B95" s="319"/>
      <c r="C95" s="319"/>
      <c r="D95" s="319"/>
      <c r="E95" s="200"/>
      <c r="F95" s="84" t="s">
        <v>365</v>
      </c>
      <c r="G95" s="76"/>
      <c r="H95" s="191">
        <f>'Табл. 1  Гос.задание(2)'!H64+'Табл. 2 Иные цели(2)'!H64+'Табл. 4.3 платные ВСЕГО '!H65+'Табл. 5 ОМС'!H65</f>
        <v>475000</v>
      </c>
      <c r="I95" s="191">
        <f>'Табл. 1  Гос.задание(2)'!I64+'Табл. 2 Иные цели(2)'!I64+'Табл. 4.3 платные ВСЕГО '!I65+'Табл. 5 ОМС'!I65</f>
        <v>100000</v>
      </c>
      <c r="J95" s="191">
        <f>'Табл. 1  Гос.задание(2)'!J64+'Табл. 2 Иные цели(2)'!J64+'Табл. 4.3 платные ВСЕГО '!J65+'Табл. 5 ОМС'!J65</f>
        <v>100000</v>
      </c>
      <c r="K95" s="194">
        <f>'Табл. 1  Гос.задание(2)'!H64+'Табл. 2 Иные цели(2)'!H64+'Табл. 5 ОМС'!H65+'Табл. 4.3 платные ВСЕГО '!H65</f>
        <v>475000</v>
      </c>
      <c r="L95" s="194">
        <f t="shared" si="2"/>
        <v>0</v>
      </c>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28" customFormat="1" ht="32.25" customHeight="1" x14ac:dyDescent="0.25">
      <c r="A96" s="326" t="s">
        <v>308</v>
      </c>
      <c r="B96" s="327"/>
      <c r="C96" s="327"/>
      <c r="D96" s="328"/>
      <c r="E96" s="200"/>
      <c r="F96" s="84" t="s">
        <v>366</v>
      </c>
      <c r="G96" s="76"/>
      <c r="H96" s="191">
        <f>'Табл. 1  Гос.задание(2)'!H65+'Табл. 2 Иные цели(2)'!H65+'Табл. 4.3 платные ВСЕГО '!H66+'Табл. 5 ОМС'!H66</f>
        <v>30000</v>
      </c>
      <c r="I96" s="191">
        <f>'Табл. 1  Гос.задание(2)'!I65+'Табл. 2 Иные цели(2)'!I65+'Табл. 4.3 платные ВСЕГО '!I66+'Табл. 5 ОМС'!I66</f>
        <v>50000</v>
      </c>
      <c r="J96" s="191">
        <f>'Табл. 1  Гос.задание(2)'!J65+'Табл. 2 Иные цели(2)'!J65+'Табл. 4.3 платные ВСЕГО '!J66+'Табл. 5 ОМС'!J66</f>
        <v>50000</v>
      </c>
      <c r="K96" s="194">
        <f>'Табл. 1  Гос.задание(2)'!H65+'Табл. 2 Иные цели(2)'!H65+'Табл. 5 ОМС'!H66+'Табл. 4.3 платные ВСЕГО '!H66</f>
        <v>30000</v>
      </c>
      <c r="L96" s="194">
        <f t="shared" si="2"/>
        <v>0</v>
      </c>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28" customFormat="1" ht="32.25" customHeight="1" x14ac:dyDescent="0.25">
      <c r="A97" s="326" t="s">
        <v>309</v>
      </c>
      <c r="B97" s="327"/>
      <c r="C97" s="327"/>
      <c r="D97" s="328"/>
      <c r="E97" s="200"/>
      <c r="F97" s="84" t="s">
        <v>348</v>
      </c>
      <c r="G97" s="76"/>
      <c r="H97" s="191">
        <f>'Табл. 1  Гос.задание(2)'!H66+'Табл. 2 Иные цели(2)'!H66+'Табл. 4.3 платные ВСЕГО '!H67+'Табл. 5 ОМС'!H67</f>
        <v>460723.05</v>
      </c>
      <c r="I97" s="191">
        <f>'Табл. 1  Гос.задание(2)'!I66+'Табл. 2 Иные цели(2)'!I66+'Табл. 4.3 платные ВСЕГО '!I67+'Табл. 5 ОМС'!I67</f>
        <v>500000</v>
      </c>
      <c r="J97" s="191">
        <f>'Табл. 1  Гос.задание(2)'!J66+'Табл. 2 Иные цели(2)'!J66+'Табл. 4.3 платные ВСЕГО '!J67+'Табл. 5 ОМС'!J67</f>
        <v>470000</v>
      </c>
      <c r="K97" s="194">
        <f>'Табл. 1  Гос.задание(2)'!H66+'Табл. 2 Иные цели(2)'!H66+'Табл. 5 ОМС'!H67+'Табл. 4.3 платные ВСЕГО '!H67</f>
        <v>460723.05</v>
      </c>
      <c r="L97" s="194">
        <f t="shared" si="2"/>
        <v>0</v>
      </c>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28" customFormat="1" ht="31.5" customHeight="1" x14ac:dyDescent="0.25">
      <c r="A98" s="260" t="s">
        <v>132</v>
      </c>
      <c r="B98" s="260"/>
      <c r="C98" s="260"/>
      <c r="D98" s="260"/>
      <c r="E98" s="200">
        <v>2330</v>
      </c>
      <c r="F98" s="84" t="s">
        <v>348</v>
      </c>
      <c r="G98" s="76"/>
      <c r="H98" s="191">
        <f>'Табл. 1  Гос.задание(2)'!H67+'Табл. 2 Иные цели(2)'!H67+'Табл. 4.3 платные ВСЕГО '!H68+'Табл. 5 ОМС'!H68</f>
        <v>0</v>
      </c>
      <c r="I98" s="191">
        <f>'Табл. 1  Гос.задание(2)'!I67+'Табл. 2 Иные цели(2)'!I67+'Табл. 4.3 платные ВСЕГО '!I68+'Табл. 5 ОМС'!I68</f>
        <v>0</v>
      </c>
      <c r="J98" s="191">
        <f>'Табл. 1  Гос.задание(2)'!J67+'Табл. 2 Иные цели(2)'!J67+'Табл. 4.3 платные ВСЕГО '!J68+'Табл. 5 ОМС'!J68</f>
        <v>0</v>
      </c>
      <c r="K98" s="194">
        <f>'Табл. 1  Гос.задание(2)'!H67+'Табл. 2 Иные цели(2)'!H67+'Табл. 5 ОМС'!H68+'Табл. 4.3 платные ВСЕГО '!H68</f>
        <v>0</v>
      </c>
      <c r="L98" s="194">
        <f t="shared" si="2"/>
        <v>0</v>
      </c>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28" customFormat="1" ht="19.5" customHeight="1" x14ac:dyDescent="0.25">
      <c r="A99" s="260" t="s">
        <v>133</v>
      </c>
      <c r="B99" s="260"/>
      <c r="C99" s="260"/>
      <c r="D99" s="260"/>
      <c r="E99" s="200">
        <v>2400</v>
      </c>
      <c r="F99" s="84" t="s">
        <v>9</v>
      </c>
      <c r="G99" s="76"/>
      <c r="H99" s="191">
        <f>'Табл. 1  Гос.задание(2)'!H68+'Табл. 2 Иные цели(2)'!H68+'Табл. 4.3 платные ВСЕГО '!H69+'Табл. 5 ОМС'!H69</f>
        <v>0</v>
      </c>
      <c r="I99" s="191">
        <f>'Табл. 1  Гос.задание(2)'!I68+'Табл. 2 Иные цели(2)'!I68+'Табл. 4.3 платные ВСЕГО '!I69+'Табл. 5 ОМС'!I69</f>
        <v>0</v>
      </c>
      <c r="J99" s="191">
        <f>'Табл. 1  Гос.задание(2)'!J68+'Табл. 2 Иные цели(2)'!J68+'Табл. 4.3 платные ВСЕГО '!J69+'Табл. 5 ОМС'!J69</f>
        <v>0</v>
      </c>
      <c r="K99" s="194">
        <f>'Табл. 1  Гос.задание(2)'!H68+'Табл. 2 Иные цели(2)'!H68+'Табл. 5 ОМС'!H69+'Табл. 4.3 платные ВСЕГО '!H69</f>
        <v>0</v>
      </c>
      <c r="L99" s="194">
        <f t="shared" si="2"/>
        <v>0</v>
      </c>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row>
    <row r="100" spans="1:75" s="28" customFormat="1" ht="28.5" customHeight="1" x14ac:dyDescent="0.25">
      <c r="A100" s="260" t="s">
        <v>407</v>
      </c>
      <c r="B100" s="260"/>
      <c r="C100" s="260"/>
      <c r="D100" s="260"/>
      <c r="E100" s="200">
        <v>2410</v>
      </c>
      <c r="F100" s="84">
        <v>613</v>
      </c>
      <c r="G100" s="76"/>
      <c r="H100" s="191">
        <f>'Табл. 1  Гос.задание(2)'!H69+'Табл. 2 Иные цели(2)'!H69+'Табл. 4.3 платные ВСЕГО '!H70+'Табл. 5 ОМС'!H70</f>
        <v>0</v>
      </c>
      <c r="I100" s="191">
        <f>'Табл. 1  Гос.задание(2)'!I69+'Табл. 2 Иные цели(2)'!I69+'Табл. 4.3 платные ВСЕГО '!I70+'Табл. 5 ОМС'!I70</f>
        <v>0</v>
      </c>
      <c r="J100" s="191">
        <f>'Табл. 1  Гос.задание(2)'!J69+'Табл. 2 Иные цели(2)'!J69+'Табл. 4.3 платные ВСЕГО '!J70+'Табл. 5 ОМС'!J70</f>
        <v>0</v>
      </c>
      <c r="K100" s="194">
        <f>'Табл. 1  Гос.задание(2)'!H69+'Табл. 2 Иные цели(2)'!H69+'Табл. 5 ОМС'!H70+'Табл. 4.3 платные ВСЕГО '!H70</f>
        <v>0</v>
      </c>
      <c r="L100" s="194">
        <f t="shared" si="2"/>
        <v>0</v>
      </c>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28" customFormat="1" ht="19.5" customHeight="1" x14ac:dyDescent="0.25">
      <c r="A101" s="260" t="s">
        <v>408</v>
      </c>
      <c r="B101" s="260"/>
      <c r="C101" s="260"/>
      <c r="D101" s="260"/>
      <c r="E101" s="200">
        <v>2420</v>
      </c>
      <c r="F101" s="84">
        <v>623</v>
      </c>
      <c r="G101" s="76"/>
      <c r="H101" s="191">
        <f>'Табл. 1  Гос.задание(2)'!H70+'Табл. 2 Иные цели(2)'!H70+'Табл. 4.3 платные ВСЕГО '!H71+'Табл. 5 ОМС'!H71</f>
        <v>0</v>
      </c>
      <c r="I101" s="191">
        <f>'Табл. 1  Гос.задание(2)'!I70+'Табл. 2 Иные цели(2)'!I70+'Табл. 4.3 платные ВСЕГО '!I71+'Табл. 5 ОМС'!I71</f>
        <v>0</v>
      </c>
      <c r="J101" s="191">
        <f>'Табл. 1  Гос.задание(2)'!J70+'Табл. 2 Иные цели(2)'!J70+'Табл. 4.3 платные ВСЕГО '!J71+'Табл. 5 ОМС'!J71</f>
        <v>0</v>
      </c>
      <c r="K101" s="194">
        <f>'Табл. 1  Гос.задание(2)'!H70+'Табл. 2 Иные цели(2)'!H70+'Табл. 5 ОМС'!H71+'Табл. 4.3 платные ВСЕГО '!H71</f>
        <v>0</v>
      </c>
      <c r="L101" s="194">
        <f t="shared" si="2"/>
        <v>0</v>
      </c>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s="28" customFormat="1" ht="41.25" customHeight="1" x14ac:dyDescent="0.25">
      <c r="A102" s="260" t="s">
        <v>432</v>
      </c>
      <c r="B102" s="260"/>
      <c r="C102" s="260"/>
      <c r="D102" s="260"/>
      <c r="E102" s="200">
        <v>2430</v>
      </c>
      <c r="F102" s="84">
        <v>634</v>
      </c>
      <c r="G102" s="76"/>
      <c r="H102" s="191">
        <v>0</v>
      </c>
      <c r="I102" s="191">
        <f>'Табл. 1  Гос.задание(2)'!I74+'Табл. 2 Иные цели(2)'!I74+'Табл. 4.3 платные ВСЕГО '!I75+'Табл. 5 ОМС'!I75</f>
        <v>0</v>
      </c>
      <c r="J102" s="191">
        <f>'Табл. 1  Гос.задание(2)'!J74+'Табл. 2 Иные цели(2)'!J74+'Табл. 4.3 платные ВСЕГО '!J75+'Табл. 5 ОМС'!J75</f>
        <v>0</v>
      </c>
      <c r="K102" s="194">
        <f>'Табл. 1  Гос.задание(2)'!H71+'Табл. 2 Иные цели(2)'!H71+'Табл. 5 ОМС'!H72+'Табл. 4.3 платные ВСЕГО '!H72</f>
        <v>0</v>
      </c>
      <c r="L102" s="194">
        <f t="shared" si="2"/>
        <v>0</v>
      </c>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28" customFormat="1" ht="18" customHeight="1" x14ac:dyDescent="0.25">
      <c r="A103" s="305" t="s">
        <v>433</v>
      </c>
      <c r="B103" s="306"/>
      <c r="C103" s="306"/>
      <c r="D103" s="307"/>
      <c r="E103" s="200">
        <v>2440</v>
      </c>
      <c r="F103" s="84">
        <v>810</v>
      </c>
      <c r="G103" s="76"/>
      <c r="H103" s="191">
        <f>'Табл. 1  Гос.задание(2)'!H72+'Табл. 2 Иные цели(2)'!H72+'Табл. 4.3 платные ВСЕГО '!H73+'Табл. 5 ОМС'!H73</f>
        <v>0</v>
      </c>
      <c r="I103" s="191">
        <f>'Табл. 1  Гос.задание(2)'!I75+'Табл. 2 Иные цели(2)'!I75+'Табл. 4.3 платные ВСЕГО '!I76+'Табл. 5 ОМС'!I76</f>
        <v>0</v>
      </c>
      <c r="J103" s="191">
        <f>'Табл. 1  Гос.задание(2)'!J75+'Табл. 2 Иные цели(2)'!J75+'Табл. 4.3 платные ВСЕГО '!J76+'Табл. 5 ОМС'!J76</f>
        <v>0</v>
      </c>
      <c r="K103" s="194">
        <f>'Табл. 1  Гос.задание(2)'!H72+'Табл. 2 Иные цели(2)'!H72+'Табл. 5 ОМС'!H73+'Табл. 4.3 платные ВСЕГО '!H73</f>
        <v>0</v>
      </c>
      <c r="L103" s="194">
        <f t="shared" si="2"/>
        <v>0</v>
      </c>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row>
    <row r="104" spans="1:75" s="28" customFormat="1" ht="18" customHeight="1" x14ac:dyDescent="0.25">
      <c r="A104" s="305" t="s">
        <v>135</v>
      </c>
      <c r="B104" s="306"/>
      <c r="C104" s="306"/>
      <c r="D104" s="307"/>
      <c r="E104" s="200">
        <v>2450</v>
      </c>
      <c r="F104" s="84">
        <v>862</v>
      </c>
      <c r="G104" s="76"/>
      <c r="H104" s="191">
        <f>'Табл. 1  Гос.задание(2)'!H73+'Табл. 2 Иные цели(2)'!H73+'Табл. 4.3 платные ВСЕГО '!H74+'Табл. 5 ОМС'!H74</f>
        <v>0</v>
      </c>
      <c r="I104" s="191">
        <v>0</v>
      </c>
      <c r="J104" s="191">
        <v>0</v>
      </c>
      <c r="K104" s="194">
        <f>'Табл. 1  Гос.задание(2)'!H73+'Табл. 2 Иные цели(2)'!H73+'Табл. 5 ОМС'!H74+'Табл. 4.3 платные ВСЕГО '!H74</f>
        <v>0</v>
      </c>
      <c r="L104" s="194">
        <f t="shared" si="2"/>
        <v>0</v>
      </c>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row>
    <row r="105" spans="1:75" s="28" customFormat="1" ht="28.5" customHeight="1" x14ac:dyDescent="0.25">
      <c r="A105" s="305" t="s">
        <v>434</v>
      </c>
      <c r="B105" s="306"/>
      <c r="C105" s="306"/>
      <c r="D105" s="307"/>
      <c r="E105" s="200">
        <v>2460</v>
      </c>
      <c r="F105" s="84">
        <v>863</v>
      </c>
      <c r="G105" s="76"/>
      <c r="H105" s="191">
        <v>0</v>
      </c>
      <c r="I105" s="191">
        <v>0</v>
      </c>
      <c r="J105" s="191">
        <v>0</v>
      </c>
      <c r="K105" s="194">
        <f>'Табл. 1  Гос.задание(2)'!H74+'Табл. 2 Иные цели(2)'!H74+'Табл. 5 ОМС'!H75+'Табл. 4.3 платные ВСЕГО '!H75</f>
        <v>125000</v>
      </c>
      <c r="L105" s="194">
        <f t="shared" si="2"/>
        <v>125000</v>
      </c>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row>
    <row r="106" spans="1:75" s="28" customFormat="1" ht="19.5" customHeight="1" x14ac:dyDescent="0.25">
      <c r="A106" s="260" t="s">
        <v>137</v>
      </c>
      <c r="B106" s="260"/>
      <c r="C106" s="260"/>
      <c r="D106" s="260"/>
      <c r="E106" s="217">
        <v>2500</v>
      </c>
      <c r="F106" s="84" t="s">
        <v>9</v>
      </c>
      <c r="G106" s="76"/>
      <c r="H106" s="191">
        <f>'Табл. 1  Гос.задание(2)'!H75+'Табл. 2 Иные цели(2)'!H75+'Табл. 4.3 платные ВСЕГО '!H75+'Табл. 5 ОМС'!H76</f>
        <v>125000</v>
      </c>
      <c r="I106" s="191">
        <f>'Табл. 1  Гос.задание(2)'!I75+'Табл. 2 Иные цели(2)'!I75+'Табл. 4.3 платные ВСЕГО '!I76+'Табл. 5 ОМС'!I76</f>
        <v>0</v>
      </c>
      <c r="J106" s="191">
        <f>'Табл. 1  Гос.задание(2)'!J75+'Табл. 2 Иные цели(2)'!J75+'Табл. 4.3 платные ВСЕГО '!J76+'Табл. 5 ОМС'!J76</f>
        <v>0</v>
      </c>
      <c r="K106" s="194">
        <f>'Табл. 1  Гос.задание(2)'!H75+'Табл. 2 Иные цели(2)'!H75+'Табл. 5 ОМС'!H76+'Табл. 4.3 платные ВСЕГО '!H76</f>
        <v>110000</v>
      </c>
      <c r="L106" s="194">
        <f t="shared" si="2"/>
        <v>-15000</v>
      </c>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row>
    <row r="107" spans="1:75" s="28" customFormat="1" ht="42" customHeight="1" x14ac:dyDescent="0.25">
      <c r="A107" s="260" t="s">
        <v>138</v>
      </c>
      <c r="B107" s="260"/>
      <c r="C107" s="260"/>
      <c r="D107" s="260"/>
      <c r="E107" s="200">
        <v>2520</v>
      </c>
      <c r="F107" s="84">
        <v>831</v>
      </c>
      <c r="G107" s="76"/>
      <c r="H107" s="191">
        <f>'Табл. 4.3 платные ВСЕГО '!H76</f>
        <v>110000</v>
      </c>
      <c r="I107" s="191">
        <f>'Табл. 4.3 платные ВСЕГО '!I76</f>
        <v>0</v>
      </c>
      <c r="J107" s="191">
        <f>'Табл. 4.3 платные ВСЕГО '!J76</f>
        <v>0</v>
      </c>
      <c r="K107" s="194">
        <f>'Табл. 1  Гос.задание(2)'!H76+'Табл. 2 Иные цели(2)'!H76+'Табл. 5 ОМС'!H77+'Табл. 4.3 платные ВСЕГО '!H77</f>
        <v>49953419.630000003</v>
      </c>
      <c r="L107" s="194">
        <f t="shared" si="2"/>
        <v>49843419.630000003</v>
      </c>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row>
    <row r="108" spans="1:75" s="28" customFormat="1" ht="42" customHeight="1" x14ac:dyDescent="0.25">
      <c r="A108" s="305" t="s">
        <v>435</v>
      </c>
      <c r="B108" s="306"/>
      <c r="C108" s="306"/>
      <c r="D108" s="307"/>
      <c r="E108" s="200">
        <v>2521</v>
      </c>
      <c r="F108" s="84">
        <v>8</v>
      </c>
      <c r="G108" s="76"/>
      <c r="H108" s="191">
        <f>'Табл. 4.3 платные ВСЕГО '!H77</f>
        <v>15000</v>
      </c>
      <c r="I108" s="191">
        <f>'Табл. 4.3 платные ВСЕГО '!I77</f>
        <v>0</v>
      </c>
      <c r="J108" s="191">
        <f>'Табл. 4.3 платные ВСЕГО '!J77</f>
        <v>0</v>
      </c>
      <c r="K108" s="194">
        <f>'Табл. 1  Гос.задание(2)'!H77+'Табл. 2 Иные цели(2)'!H77+'Табл. 5 ОМС'!H78+'Табл. 4.3 платные ВСЕГО '!H78</f>
        <v>2863967.46</v>
      </c>
      <c r="L108" s="194">
        <f t="shared" si="2"/>
        <v>2848967.46</v>
      </c>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row>
    <row r="109" spans="1:75" s="28" customFormat="1" ht="19.5" customHeight="1" x14ac:dyDescent="0.25">
      <c r="A109" s="260" t="s">
        <v>139</v>
      </c>
      <c r="B109" s="260"/>
      <c r="C109" s="260"/>
      <c r="D109" s="260"/>
      <c r="E109" s="200">
        <v>2600</v>
      </c>
      <c r="F109" s="84" t="s">
        <v>9</v>
      </c>
      <c r="G109" s="76"/>
      <c r="H109" s="192">
        <f>SUM(H110:H112)</f>
        <v>52802387.090000004</v>
      </c>
      <c r="I109" s="192">
        <f>SUM(I110:I112)</f>
        <v>40428682.600000001</v>
      </c>
      <c r="J109" s="192">
        <f>SUM(J110:J112)</f>
        <v>20053559.899999999</v>
      </c>
      <c r="K109" s="194">
        <f>'Табл. 1  Гос.задание(2)'!H78+'Табл. 2 Иные цели(2)'!H78+'Табл. 5 ОМС'!H79+'Табл. 4.3 платные ВСЕГО '!H79</f>
        <v>0</v>
      </c>
      <c r="L109" s="194">
        <f t="shared" si="2"/>
        <v>-52802387.090000004</v>
      </c>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row>
    <row r="110" spans="1:75" s="28" customFormat="1" ht="21.75" customHeight="1" x14ac:dyDescent="0.25">
      <c r="A110" s="260" t="s">
        <v>140</v>
      </c>
      <c r="B110" s="260"/>
      <c r="C110" s="260"/>
      <c r="D110" s="260"/>
      <c r="E110" s="200">
        <v>2610</v>
      </c>
      <c r="F110" s="109">
        <v>241</v>
      </c>
      <c r="G110" s="110"/>
      <c r="H110" s="191">
        <f>'Табл. 1  Гос.задание(2)'!H77+'Табл. 2 Иные цели(2)'!H77+'Табл. 4.3 платные ВСЕГО '!H79+'Табл. 5 ОМС'!H78</f>
        <v>0</v>
      </c>
      <c r="I110" s="191">
        <f>'Табл. 1  Гос.задание(2)'!I77+'Табл. 2 Иные цели(2)'!I77+'Табл. 4.3 платные ВСЕГО '!I79+'Табл. 5 ОМС'!I78</f>
        <v>0</v>
      </c>
      <c r="J110" s="191">
        <f>'Табл. 1  Гос.задание(2)'!J77+'Табл. 2 Иные цели(2)'!J77+'Табл. 4.3 платные ВСЕГО '!J79+'Табл. 5 ОМС'!J78</f>
        <v>0</v>
      </c>
      <c r="K110" s="194">
        <f>'Табл. 1  Гос.задание(2)'!H79+'Табл. 2 Иные цели(2)'!H79+'Табл. 5 ОМС'!H80+'Табл. 4.3 платные ВСЕГО '!H80</f>
        <v>0</v>
      </c>
      <c r="L110" s="194">
        <f t="shared" si="2"/>
        <v>0</v>
      </c>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row>
    <row r="111" spans="1:75" s="28" customFormat="1" ht="28.5" customHeight="1" x14ac:dyDescent="0.25">
      <c r="A111" s="260" t="s">
        <v>263</v>
      </c>
      <c r="B111" s="260"/>
      <c r="C111" s="260"/>
      <c r="D111" s="260"/>
      <c r="E111" s="225">
        <v>2630</v>
      </c>
      <c r="F111" s="109" t="s">
        <v>375</v>
      </c>
      <c r="G111" s="110"/>
      <c r="H111" s="191">
        <f>'Табл. 1  Гос.задание(2)'!H79+'Табл. 2 Иные цели(2)'!H79+'Табл. 4.3 платные ВСЕГО '!H82+'Табл. 5 ОМС'!H80+'Табл. 4.3 платные ВСЕГО '!H81</f>
        <v>31075.08</v>
      </c>
      <c r="I111" s="191">
        <f>'Табл. 1  Гос.задание(2)'!I79+'Табл. 2 Иные цели(2)'!I79+'Табл. 4.3 платные ВСЕГО '!I82+'Табл. 5 ОМС'!I80</f>
        <v>8836000</v>
      </c>
      <c r="J111" s="191">
        <f>'Табл. 1  Гос.задание(2)'!J79+'Табл. 2 Иные цели(2)'!J79+'Табл. 4.3 платные ВСЕГО '!J82+'Табл. 5 ОМС'!J80</f>
        <v>0</v>
      </c>
      <c r="K111" s="194">
        <f>'Табл. 1  Гос.задание(2)'!H80+'Табл. 2 Иные цели(2)'!H80+'Табл. 5 ОМС'!H81+'Табл. 4.3 платные ВСЕГО '!H81</f>
        <v>49969494.710000001</v>
      </c>
      <c r="L111" s="194">
        <f t="shared" si="2"/>
        <v>49938419.630000003</v>
      </c>
      <c r="M111" s="71" t="s">
        <v>368</v>
      </c>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row>
    <row r="112" spans="1:75" s="28" customFormat="1" ht="19.5" customHeight="1" x14ac:dyDescent="0.25">
      <c r="A112" s="260" t="s">
        <v>142</v>
      </c>
      <c r="B112" s="260"/>
      <c r="C112" s="260"/>
      <c r="D112" s="260"/>
      <c r="E112" s="200">
        <v>2640</v>
      </c>
      <c r="F112" s="84">
        <v>244</v>
      </c>
      <c r="G112" s="76"/>
      <c r="H112" s="222">
        <f>SUM(H114:H128)</f>
        <v>52771312.009999998</v>
      </c>
      <c r="I112" s="192">
        <f>SUM(I114:I128)</f>
        <v>31592682.600000001</v>
      </c>
      <c r="J112" s="192">
        <f>SUM(J114:J128)</f>
        <v>20053559.899999999</v>
      </c>
      <c r="K112" s="194">
        <f>'Табл. 1  Гос.задание(2)'!H81+'Табл. 2 Иные цели(2)'!H81+'Табл. 5 ОМС'!H82+'Табл. 4.3 платные ВСЕГО '!H82</f>
        <v>0</v>
      </c>
      <c r="L112" s="194">
        <f t="shared" si="2"/>
        <v>-52771312.009999998</v>
      </c>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row>
    <row r="113" spans="1:75" s="28" customFormat="1" ht="19.5" customHeight="1" x14ac:dyDescent="0.25">
      <c r="A113" s="260" t="s">
        <v>37</v>
      </c>
      <c r="B113" s="260"/>
      <c r="C113" s="260"/>
      <c r="D113" s="260"/>
      <c r="E113" s="227"/>
      <c r="F113" s="84"/>
      <c r="G113" s="76"/>
      <c r="H113" s="193"/>
      <c r="I113" s="193"/>
      <c r="J113" s="193"/>
      <c r="K113" s="194">
        <f>'Табл. 1  Гос.задание(2)'!H82+'Табл. 2 Иные цели(2)'!H82+'Табл. 5 ОМС'!H83+'Табл. 4.3 платные ВСЕГО '!H83</f>
        <v>3342262.38</v>
      </c>
      <c r="L113" s="194">
        <f t="shared" si="2"/>
        <v>3342262.38</v>
      </c>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row>
    <row r="114" spans="1:75" s="28" customFormat="1" ht="19.5" customHeight="1" x14ac:dyDescent="0.25">
      <c r="A114" s="271" t="s">
        <v>310</v>
      </c>
      <c r="B114" s="272"/>
      <c r="C114" s="272"/>
      <c r="D114" s="273"/>
      <c r="E114" s="227"/>
      <c r="F114" s="84" t="s">
        <v>349</v>
      </c>
      <c r="G114" s="76"/>
      <c r="H114" s="191">
        <f>'Табл. 1  Гос.задание(2)'!H82+'Табл. 2 Иные цели(2)'!H82+'Табл. 4.3 платные ВСЕГО '!H85+'Табл. 5 ОМС'!H83</f>
        <v>531000</v>
      </c>
      <c r="I114" s="191">
        <f>'Табл. 1  Гос.задание(2)'!I82+'Табл. 2 Иные цели(2)'!I82+'Табл. 4.3 платные ВСЕГО '!I85+'Табл. 5 ОМС'!I83</f>
        <v>436000</v>
      </c>
      <c r="J114" s="191">
        <f>'Табл. 1  Гос.задание(2)'!J82+'Табл. 2 Иные цели(2)'!J82+'Табл. 4.3 платные ВСЕГО '!J85+'Табл. 5 ОМС'!J83</f>
        <v>436000</v>
      </c>
      <c r="K114" s="194">
        <f>'Табл. 1  Гос.задание(2)'!H83+'Табл. 2 Иные цели(2)'!H83+'Табл. 5 ОМС'!H84+'Табл. 4.3 платные ВСЕГО '!H84</f>
        <v>105000</v>
      </c>
      <c r="L114" s="194">
        <f t="shared" si="2"/>
        <v>-426000</v>
      </c>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row>
    <row r="115" spans="1:75" s="28" customFormat="1" ht="19.5" customHeight="1" x14ac:dyDescent="0.25">
      <c r="A115" s="305" t="s">
        <v>311</v>
      </c>
      <c r="B115" s="306"/>
      <c r="C115" s="306"/>
      <c r="D115" s="307"/>
      <c r="E115" s="227"/>
      <c r="F115" s="84" t="s">
        <v>350</v>
      </c>
      <c r="G115" s="76"/>
      <c r="H115" s="191">
        <f>'Табл. 1  Гос.задание(2)'!H83+'Табл. 2 Иные цели(2)'!H83+'Табл. 4.3 платные ВСЕГО '!H86+'Табл. 5 ОМС'!H84</f>
        <v>111000</v>
      </c>
      <c r="I115" s="191">
        <f>'Табл. 1  Гос.задание(2)'!I83+'Табл. 2 Иные цели(2)'!I83+'Табл. 4.3 платные ВСЕГО '!I86+'Табл. 5 ОМС'!I84</f>
        <v>11000</v>
      </c>
      <c r="J115" s="191">
        <f>'Табл. 1  Гос.задание(2)'!J83+'Табл. 2 Иные цели(2)'!J83+'Табл. 4.3 платные ВСЕГО '!J86+'Табл. 5 ОМС'!J84</f>
        <v>11000</v>
      </c>
      <c r="K115" s="194">
        <f>'Табл. 1  Гос.задание(2)'!H84+'Табл. 2 Иные цели(2)'!H84+'Табл. 5 ОМС'!H85+'Табл. 4.3 платные ВСЕГО '!H85</f>
        <v>3633237</v>
      </c>
      <c r="L115" s="194">
        <f t="shared" si="2"/>
        <v>3522237</v>
      </c>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row>
    <row r="116" spans="1:75" s="28" customFormat="1" ht="19.5" customHeight="1" x14ac:dyDescent="0.25">
      <c r="A116" s="308" t="s">
        <v>301</v>
      </c>
      <c r="B116" s="308"/>
      <c r="C116" s="308"/>
      <c r="D116" s="309"/>
      <c r="E116" s="227"/>
      <c r="F116" s="84" t="s">
        <v>351</v>
      </c>
      <c r="G116" s="76"/>
      <c r="H116" s="191">
        <f>'Табл. 1  Гос.задание(2)'!H84+'Табл. 2 Иные цели(2)'!H84+'Табл. 4.3 платные ВСЕГО '!H87+'Табл. 5 ОМС'!H85</f>
        <v>3611607</v>
      </c>
      <c r="I116" s="191">
        <f>'Табл. 1  Гос.задание(2)'!I84+'Табл. 2 Иные цели(2)'!I84+'Табл. 4.3 платные ВСЕГО '!I87+'Табл. 5 ОМС'!I85</f>
        <v>3104261.18</v>
      </c>
      <c r="J116" s="191">
        <f>'Табл. 1  Гос.задание(2)'!J84+'Табл. 2 Иные цели(2)'!J84+'Табл. 4.3 платные ВСЕГО '!J87+'Табл. 5 ОМС'!J85</f>
        <v>2578002.5</v>
      </c>
      <c r="K116" s="194">
        <f>'Табл. 1  Гос.задание(2)'!H85+'Табл. 2 Иные цели(2)'!H85+'Табл. 5 ОМС'!H86+'Табл. 4.3 платные ВСЕГО '!H86</f>
        <v>1588989</v>
      </c>
      <c r="L116" s="194">
        <f t="shared" si="2"/>
        <v>-2022618</v>
      </c>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row>
    <row r="117" spans="1:75" s="28" customFormat="1" ht="19.5" customHeight="1" x14ac:dyDescent="0.25">
      <c r="A117" s="271" t="s">
        <v>313</v>
      </c>
      <c r="B117" s="272"/>
      <c r="C117" s="272"/>
      <c r="D117" s="273"/>
      <c r="E117" s="227"/>
      <c r="F117" s="84" t="s">
        <v>352</v>
      </c>
      <c r="G117" s="76"/>
      <c r="H117" s="191">
        <f>'Табл. 1  Гос.задание(2)'!H85+'Табл. 2 Иные цели(2)'!H85+'Табл. 4.3 платные ВСЕГО '!H88+'Табл. 5 ОМС'!H86</f>
        <v>1627502.25</v>
      </c>
      <c r="I117" s="191">
        <f>'Табл. 1  Гос.задание(2)'!I85+'Табл. 2 Иные цели(2)'!I85+'Табл. 4.3 платные ВСЕГО '!I88+'Табл. 5 ОМС'!I86</f>
        <v>1077513.25</v>
      </c>
      <c r="J117" s="191">
        <f>'Табл. 1  Гос.задание(2)'!J85+'Табл. 2 Иные цели(2)'!J85+'Табл. 4.3 платные ВСЕГО '!J88+'Табл. 5 ОМС'!J86</f>
        <v>875813.25</v>
      </c>
      <c r="K117" s="194">
        <f>'Табл. 1  Гос.задание(2)'!H86+'Табл. 2 Иные цели(2)'!H86+'Табл. 5 ОМС'!H87+'Табл. 4.3 платные ВСЕГО '!H87</f>
        <v>543838</v>
      </c>
      <c r="L117" s="194">
        <f t="shared" si="2"/>
        <v>-1083664.25</v>
      </c>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row>
    <row r="118" spans="1:75" s="28" customFormat="1" ht="19.5" customHeight="1" x14ac:dyDescent="0.25">
      <c r="A118" s="305" t="s">
        <v>314</v>
      </c>
      <c r="B118" s="306"/>
      <c r="C118" s="306"/>
      <c r="D118" s="307"/>
      <c r="E118" s="227"/>
      <c r="F118" s="84" t="s">
        <v>353</v>
      </c>
      <c r="G118" s="76"/>
      <c r="H118" s="191">
        <f>'Табл. 1  Гос.задание(2)'!H86+'Табл. 2 Иные цели(2)'!H86+'Табл. 4.3 платные ВСЕГО '!H89+'Табл. 5 ОМС'!H87</f>
        <v>543838</v>
      </c>
      <c r="I118" s="191">
        <f>'Табл. 1  Гос.задание(2)'!I86+'Табл. 2 Иные цели(2)'!I86+'Табл. 4.3 платные ВСЕГО '!I89+'Табл. 5 ОМС'!I87</f>
        <v>475397.4</v>
      </c>
      <c r="J118" s="191">
        <f>'Табл. 1  Гос.задание(2)'!J86+'Табл. 2 Иные цели(2)'!J86+'Табл. 4.3 платные ВСЕГО '!J89+'Табл. 5 ОМС'!J87</f>
        <v>475397.4</v>
      </c>
      <c r="K118" s="194">
        <f>'Табл. 1  Гос.задание(2)'!H87+'Табл. 2 Иные цели(2)'!H87+'Табл. 5 ОМС'!H88+'Табл. 4.3 платные ВСЕГО '!H88</f>
        <v>3418375.89</v>
      </c>
      <c r="L118" s="194">
        <f t="shared" si="2"/>
        <v>2874537.89</v>
      </c>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row>
    <row r="119" spans="1:75" s="28" customFormat="1" ht="19.5" customHeight="1" x14ac:dyDescent="0.25">
      <c r="A119" s="271" t="s">
        <v>315</v>
      </c>
      <c r="B119" s="272"/>
      <c r="C119" s="272"/>
      <c r="D119" s="273"/>
      <c r="E119" s="227"/>
      <c r="F119" s="84" t="s">
        <v>354</v>
      </c>
      <c r="G119" s="76"/>
      <c r="H119" s="191">
        <f>'Табл. 1  Гос.задание(2)'!H87+'Табл. 2 Иные цели(2)'!H87+'Табл. 4.3 платные ВСЕГО '!H90+'Табл. 5 ОМС'!H88</f>
        <v>3389862.64</v>
      </c>
      <c r="I119" s="191">
        <f>'Табл. 1  Гос.задание(2)'!I87+'Табл. 2 Иные цели(2)'!I87+'Табл. 4.3 платные ВСЕГО '!I90+'Табл. 5 ОМС'!I88</f>
        <v>3244744.35</v>
      </c>
      <c r="J119" s="191">
        <f>'Табл. 1  Гос.задание(2)'!J87+'Табл. 2 Иные цели(2)'!J87+'Табл. 4.3 платные ВСЕГО '!J90+'Табл. 5 ОМС'!J88</f>
        <v>2575476</v>
      </c>
      <c r="K119" s="194">
        <f>'Табл. 1  Гос.задание(2)'!H88+'Табл. 2 Иные цели(2)'!H88+'Табл. 5 ОМС'!H89+'Табл. 4.3 платные ВСЕГО '!H89</f>
        <v>9254450.8300000001</v>
      </c>
      <c r="L119" s="194">
        <f t="shared" si="2"/>
        <v>5864588.1900000004</v>
      </c>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row>
    <row r="120" spans="1:75" s="28" customFormat="1" ht="19.5" customHeight="1" x14ac:dyDescent="0.25">
      <c r="A120" s="305" t="s">
        <v>300</v>
      </c>
      <c r="B120" s="306"/>
      <c r="C120" s="306"/>
      <c r="D120" s="307"/>
      <c r="E120" s="227"/>
      <c r="F120" s="84" t="s">
        <v>355</v>
      </c>
      <c r="G120" s="76"/>
      <c r="H120" s="191">
        <f>'Табл. 1  Гос.задание(2)'!H88+'Табл. 2 Иные цели(2)'!H88+'Табл. 4.3 платные ВСЕГО '!H91+'Табл. 5 ОМС'!H89</f>
        <v>10180549.960000001</v>
      </c>
      <c r="I120" s="191">
        <f>'Табл. 1  Гос.задание(2)'!I88+'Табл. 2 Иные цели(2)'!I88+'Табл. 4.3 платные ВСЕГО '!I91+'Табл. 5 ОМС'!I89</f>
        <v>4449685.2</v>
      </c>
      <c r="J120" s="191">
        <f>'Табл. 1  Гос.задание(2)'!J88+'Табл. 2 Иные цели(2)'!J88+'Табл. 4.3 платные ВСЕГО '!J91+'Табл. 5 ОМС'!J89</f>
        <v>3264929</v>
      </c>
      <c r="K120" s="194">
        <f>'Табл. 1  Гос.задание(2)'!H89+'Табл. 2 Иные цели(2)'!H89+'Табл. 5 ОМС'!H90+'Табл. 4.3 платные ВСЕГО '!H90</f>
        <v>53000</v>
      </c>
      <c r="L120" s="194">
        <f t="shared" si="2"/>
        <v>-10127549.960000001</v>
      </c>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row>
    <row r="121" spans="1:75" s="28" customFormat="1" ht="19.5" customHeight="1" x14ac:dyDescent="0.25">
      <c r="A121" s="305" t="s">
        <v>302</v>
      </c>
      <c r="B121" s="306"/>
      <c r="C121" s="306"/>
      <c r="D121" s="307"/>
      <c r="E121" s="227"/>
      <c r="F121" s="84" t="s">
        <v>361</v>
      </c>
      <c r="G121" s="76"/>
      <c r="H121" s="191">
        <f>'Табл. 1  Гос.задание(2)'!H89+'Табл. 2 Иные цели(2)'!H89+'Табл. 4.3 платные ВСЕГО '!H92+'Табл. 5 ОМС'!H90</f>
        <v>43000</v>
      </c>
      <c r="I121" s="191">
        <f>'Табл. 1  Гос.задание(2)'!I89+'Табл. 2 Иные цели(2)'!I89+'Табл. 4.3 платные ВСЕГО '!I92+'Табл. 5 ОМС'!I90</f>
        <v>47000</v>
      </c>
      <c r="J121" s="191">
        <f>'Табл. 1  Гос.задание(2)'!J89+'Табл. 2 Иные цели(2)'!J89+'Табл. 4.3 платные ВСЕГО '!J92+'Табл. 5 ОМС'!J90</f>
        <v>47000</v>
      </c>
      <c r="K121" s="194">
        <f>'Табл. 1  Гос.задание(2)'!H90+'Табл. 2 Иные цели(2)'!H90+'Табл. 5 ОМС'!H91+'Табл. 4.3 платные ВСЕГО '!H91</f>
        <v>13500599.130000001</v>
      </c>
      <c r="L121" s="194">
        <f t="shared" si="2"/>
        <v>13457599.130000001</v>
      </c>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row>
    <row r="122" spans="1:75" s="28" customFormat="1" ht="19.5" customHeight="1" x14ac:dyDescent="0.25">
      <c r="A122" s="271" t="s">
        <v>305</v>
      </c>
      <c r="B122" s="272"/>
      <c r="C122" s="272"/>
      <c r="D122" s="273"/>
      <c r="E122" s="227"/>
      <c r="F122" s="84" t="s">
        <v>356</v>
      </c>
      <c r="G122" s="76"/>
      <c r="H122" s="191">
        <f>'Табл. 1  Гос.задание(2)'!H90+'Табл. 2 Иные цели(2)'!H90+'Табл. 4.3 платные ВСЕГО '!H93+'Табл. 5 ОМС'!H91</f>
        <v>13414500</v>
      </c>
      <c r="I122" s="191">
        <f>'Табл. 1  Гос.задание(2)'!I90+'Табл. 2 Иные цели(2)'!I90+'Табл. 4.3 платные ВСЕГО '!I93+'Табл. 5 ОМС'!I91</f>
        <v>7233000</v>
      </c>
      <c r="J122" s="191">
        <f>'Табл. 1  Гос.задание(2)'!J90+'Табл. 2 Иные цели(2)'!J90+'Табл. 4.3 платные ВСЕГО '!J93+'Табл. 5 ОМС'!J91</f>
        <v>1233000</v>
      </c>
      <c r="K122" s="194">
        <f>'Табл. 1  Гос.задание(2)'!H91+'Табл. 2 Иные цели(2)'!H91+'Табл. 5 ОМС'!H92+'Табл. 4.3 платные ВСЕГО '!H92</f>
        <v>11955190.970000001</v>
      </c>
      <c r="L122" s="194">
        <f t="shared" si="2"/>
        <v>-1459309.03</v>
      </c>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row>
    <row r="123" spans="1:75" s="28" customFormat="1" ht="24" customHeight="1" x14ac:dyDescent="0.25">
      <c r="A123" s="271" t="s">
        <v>316</v>
      </c>
      <c r="B123" s="272"/>
      <c r="C123" s="272"/>
      <c r="D123" s="273"/>
      <c r="E123" s="227"/>
      <c r="F123" s="84" t="s">
        <v>357</v>
      </c>
      <c r="G123" s="76"/>
      <c r="H123" s="191">
        <f>'Табл. 1  Гос.задание(2)'!H91+'Табл. 2 Иные цели(2)'!H91+'Табл. 4.3 платные ВСЕГО '!H94+'Табл. 5 ОМС'!H92</f>
        <v>12573100.970000001</v>
      </c>
      <c r="I123" s="191">
        <f>'Табл. 1  Гос.задание(2)'!I91+'Табл. 2 Иные цели(2)'!I91+'Табл. 4.3 платные ВСЕГО '!I94+'Табл. 5 ОМС'!I92</f>
        <v>7273828.9100000001</v>
      </c>
      <c r="J123" s="191">
        <f>'Табл. 1  Гос.задание(2)'!J91+'Табл. 2 Иные цели(2)'!J91+'Табл. 4.3 платные ВСЕГО '!J94+'Табл. 5 ОМС'!J92</f>
        <v>4687426.26</v>
      </c>
      <c r="K123" s="194">
        <f>'Табл. 1  Гос.задание(2)'!H92+'Табл. 2 Иные цели(2)'!H92+'Табл. 5 ОМС'!H93+'Табл. 4.3 платные ВСЕГО '!H93</f>
        <v>6176371.1900000004</v>
      </c>
      <c r="L123" s="194">
        <f t="shared" si="2"/>
        <v>-6396729.7800000003</v>
      </c>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row>
    <row r="124" spans="1:75" s="28" customFormat="1" ht="19.5" customHeight="1" x14ac:dyDescent="0.25">
      <c r="A124" s="305" t="s">
        <v>303</v>
      </c>
      <c r="B124" s="306"/>
      <c r="C124" s="306"/>
      <c r="D124" s="307"/>
      <c r="E124" s="227"/>
      <c r="F124" s="84" t="s">
        <v>358</v>
      </c>
      <c r="G124" s="76"/>
      <c r="H124" s="191">
        <f>'Табл. 1  Гос.задание(2)'!H92+'Табл. 2 Иные цели(2)'!H92+'Табл. 4.3 платные ВСЕГО '!H95+'Табл. 5 ОМС'!H93</f>
        <v>5337571.1900000004</v>
      </c>
      <c r="I124" s="191">
        <f>'Табл. 1  Гос.задание(2)'!I92+'Табл. 2 Иные цели(2)'!I92+'Табл. 4.3 платные ВСЕГО '!I95+'Табл. 5 ОМС'!I93</f>
        <v>3151202.31</v>
      </c>
      <c r="J124" s="191">
        <f>'Табл. 1  Гос.задание(2)'!J92+'Табл. 2 Иные цели(2)'!J92+'Табл. 4.3 платные ВСЕГО '!J95+'Табл. 5 ОМС'!J93</f>
        <v>2791049.99</v>
      </c>
      <c r="K124" s="194">
        <f>'Табл. 1  Гос.задание(2)'!H93+'Табл. 2 Иные цели(2)'!H93+'Табл. 5 ОМС'!H94+'Табл. 4.3 платные ВСЕГО '!H94</f>
        <v>759050</v>
      </c>
      <c r="L124" s="194">
        <f t="shared" si="2"/>
        <v>-4578521.1900000004</v>
      </c>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row>
    <row r="125" spans="1:75" s="28" customFormat="1" ht="19.5" customHeight="1" x14ac:dyDescent="0.25">
      <c r="A125" s="310" t="s">
        <v>389</v>
      </c>
      <c r="B125" s="311"/>
      <c r="C125" s="311"/>
      <c r="D125" s="312"/>
      <c r="E125" s="227"/>
      <c r="F125" s="84" t="s">
        <v>391</v>
      </c>
      <c r="G125" s="76"/>
      <c r="H125" s="191">
        <f>'Табл. 4.3 платные ВСЕГО '!H96+'Табл. 5 ОМС'!H94</f>
        <v>45140</v>
      </c>
      <c r="I125" s="191">
        <f>'Табл. 4.3 платные ВСЕГО '!I96+'Табл. 5 ОМС'!I94</f>
        <v>0</v>
      </c>
      <c r="J125" s="191">
        <f>'Табл. 4.3 платные ВСЕГО '!J96+'Табл. 5 ОМС'!J94</f>
        <v>0</v>
      </c>
      <c r="K125" s="194">
        <f>'Табл. 1  Гос.задание(2)'!H94+'Табл. 2 Иные цели(2)'!H94+'Табл. 5 ОМС'!H95+'Табл. 4.3 платные ВСЕГО '!H95</f>
        <v>137800</v>
      </c>
      <c r="L125" s="194">
        <f t="shared" si="2"/>
        <v>92660</v>
      </c>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row>
    <row r="126" spans="1:75" s="28" customFormat="1" ht="19.5" customHeight="1" x14ac:dyDescent="0.25">
      <c r="A126" s="305" t="s">
        <v>317</v>
      </c>
      <c r="B126" s="306"/>
      <c r="C126" s="306"/>
      <c r="D126" s="307"/>
      <c r="E126" s="227"/>
      <c r="F126" s="84" t="s">
        <v>359</v>
      </c>
      <c r="G126" s="76"/>
      <c r="H126" s="191">
        <f>'Табл. 1  Гос.задание(2)'!H93+'Табл. 2 Иные цели(2)'!H93+'Табл. 4.3 платные ВСЕГО '!H97+'Табл. 5 ОМС'!H95</f>
        <v>285090</v>
      </c>
      <c r="I126" s="191">
        <f>'Табл. 1  Гос.задание(2)'!I93+'Табл. 2 Иные цели(2)'!I93+'Табл. 4.3 платные ВСЕГО '!I97+'Табл. 5 ОМС'!I95</f>
        <v>60000</v>
      </c>
      <c r="J126" s="191">
        <f>'Табл. 1  Гос.задание(2)'!J93+'Табл. 2 Иные цели(2)'!J93+'Табл. 4.3 платные ВСЕГО '!J97+'Табл. 5 ОМС'!J95</f>
        <v>60000</v>
      </c>
      <c r="K126" s="194">
        <f>'Табл. 1  Гос.задание(2)'!H95+'Табл. 2 Иные цели(2)'!H95+'Табл. 5 ОМС'!H96+'Табл. 4.3 платные ВСЕГО '!H96</f>
        <v>788500</v>
      </c>
      <c r="L126" s="194">
        <f t="shared" si="2"/>
        <v>503410</v>
      </c>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row>
    <row r="127" spans="1:75" s="28" customFormat="1" ht="19.5" customHeight="1" x14ac:dyDescent="0.25">
      <c r="A127" s="271" t="s">
        <v>304</v>
      </c>
      <c r="B127" s="272"/>
      <c r="C127" s="272"/>
      <c r="D127" s="273"/>
      <c r="E127" s="227"/>
      <c r="F127" s="84" t="s">
        <v>360</v>
      </c>
      <c r="G127" s="76"/>
      <c r="H127" s="191">
        <f>'Табл. 1  Гос.задание(2)'!H94+'Табл. 2 Иные цели(2)'!H94+'Табл. 4.3 платные ВСЕГО '!H98+'Табл. 5 ОМС'!H96</f>
        <v>1047550</v>
      </c>
      <c r="I127" s="191">
        <f>'Табл. 1  Гос.задание(2)'!I94+'Табл. 2 Иные цели(2)'!I94+'Табл. 4.3 платные ВСЕГО '!I98+'Табл. 5 ОМС'!I96</f>
        <v>1009050</v>
      </c>
      <c r="J127" s="191">
        <f>'Табл. 1  Гос.задание(2)'!J94+'Табл. 2 Иные цели(2)'!J94+'Табл. 4.3 платные ВСЕГО '!J98+'Табл. 5 ОМС'!J96</f>
        <v>998465.5</v>
      </c>
      <c r="K127" s="194">
        <f>'Табл. 1  Гос.задание(2)'!H96+'Табл. 2 Иные цели(2)'!H96+'Табл. 5 ОМС'!H97+'Табл. 4.3 платные ВСЕГО '!H97</f>
        <v>145090</v>
      </c>
      <c r="L127" s="194">
        <f t="shared" si="2"/>
        <v>-902460</v>
      </c>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row>
    <row r="128" spans="1:75" s="28" customFormat="1" ht="26.25" customHeight="1" x14ac:dyDescent="0.25">
      <c r="A128" s="313" t="s">
        <v>318</v>
      </c>
      <c r="B128" s="314"/>
      <c r="C128" s="314"/>
      <c r="D128" s="315"/>
      <c r="E128" s="227"/>
      <c r="F128" s="84" t="s">
        <v>364</v>
      </c>
      <c r="G128" s="76"/>
      <c r="H128" s="191">
        <f>'Табл. 1  Гос.задание(2)'!H95+'Табл. 2 Иные цели(2)'!H95+'Табл. 4.3 платные ВСЕГО '!H99+'Табл. 5 ОМС'!H97</f>
        <v>30000</v>
      </c>
      <c r="I128" s="191">
        <f>'Табл. 1  Гос.задание(2)'!I95+'Табл. 2 Иные цели(2)'!I95+'Табл. 4.3 платные ВСЕГО '!I99+'Табл. 5 ОМС'!I97</f>
        <v>20000</v>
      </c>
      <c r="J128" s="191">
        <f>'Табл. 1  Гос.задание(2)'!J95+'Табл. 2 Иные цели(2)'!J95+'Табл. 4.3 платные ВСЕГО '!J99+'Табл. 5 ОМС'!J97</f>
        <v>20000</v>
      </c>
      <c r="K128" s="194">
        <f>'Табл. 1  Гос.задание(2)'!H97+'Табл. 2 Иные цели(2)'!H97+'Табл. 5 ОМС'!H98+'Табл. 4.3 платные ВСЕГО '!H98</f>
        <v>182450</v>
      </c>
      <c r="L128" s="194">
        <f t="shared" si="2"/>
        <v>152450</v>
      </c>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row>
    <row r="129" spans="1:75" s="28" customFormat="1" ht="32.25" customHeight="1" x14ac:dyDescent="0.25">
      <c r="A129" s="260" t="s">
        <v>264</v>
      </c>
      <c r="B129" s="260"/>
      <c r="C129" s="260"/>
      <c r="D129" s="260"/>
      <c r="E129" s="200">
        <v>2650</v>
      </c>
      <c r="F129" s="84">
        <v>400</v>
      </c>
      <c r="G129" s="76"/>
      <c r="H129" s="191">
        <f>'Табл. 1  Гос.задание(2)'!H96+'Табл. 2 Иные цели(2)'!H96+'Табл. 4.3 платные ВСЕГО '!H100+'Табл. 5 ОМС'!H98</f>
        <v>0</v>
      </c>
      <c r="I129" s="191">
        <f>'Табл. 1  Гос.задание(2)'!I96+'Табл. 2 Иные цели(2)'!I96+'Табл. 4.3 платные ВСЕГО '!I100+'Табл. 5 ОМС'!I98</f>
        <v>0</v>
      </c>
      <c r="J129" s="191">
        <f>'Табл. 1  Гос.задание(2)'!J96+'Табл. 2 Иные цели(2)'!J96+'Табл. 4.3 платные ВСЕГО '!J100+'Табл. 5 ОМС'!J98</f>
        <v>0</v>
      </c>
      <c r="K129" s="194">
        <f>'Табл. 1  Гос.задание(2)'!H98+'Табл. 2 Иные цели(2)'!H98+'Табл. 5 ОМС'!H99+'Табл. 4.3 платные ВСЕГО '!H99</f>
        <v>20000</v>
      </c>
      <c r="L129" s="194">
        <f t="shared" si="2"/>
        <v>20000</v>
      </c>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row>
    <row r="130" spans="1:75" s="28" customFormat="1" ht="43.5" customHeight="1" x14ac:dyDescent="0.25">
      <c r="A130" s="260" t="s">
        <v>265</v>
      </c>
      <c r="B130" s="260"/>
      <c r="C130" s="260"/>
      <c r="D130" s="260"/>
      <c r="E130" s="200">
        <v>2651</v>
      </c>
      <c r="F130" s="84">
        <v>406</v>
      </c>
      <c r="G130" s="76"/>
      <c r="H130" s="191">
        <f>'Табл. 1  Гос.задание(2)'!H97+'Табл. 2 Иные цели(2)'!H97+'Табл. 4.3 платные ВСЕГО '!H101+'Табл. 5 ОМС'!H99</f>
        <v>0</v>
      </c>
      <c r="I130" s="191">
        <f>'Табл. 1  Гос.задание(2)'!I97+'Табл. 2 Иные цели(2)'!I97+'Табл. 4.3 платные ВСЕГО '!I101+'Табл. 5 ОМС'!I99</f>
        <v>0</v>
      </c>
      <c r="J130" s="191">
        <f>'Табл. 1  Гос.задание(2)'!J97+'Табл. 2 Иные цели(2)'!J97+'Табл. 4.3 платные ВСЕГО '!J101+'Табл. 5 ОМС'!J99</f>
        <v>0</v>
      </c>
      <c r="K130" s="194">
        <f>'Табл. 1  Гос.задание(2)'!H99+'Табл. 2 Иные цели(2)'!H99+'Табл. 5 ОМС'!H100+'Табл. 4.3 платные ВСЕГО '!H100</f>
        <v>0</v>
      </c>
      <c r="L130" s="194">
        <f t="shared" si="2"/>
        <v>0</v>
      </c>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row>
    <row r="131" spans="1:75" s="28" customFormat="1" ht="34.5" customHeight="1" x14ac:dyDescent="0.25">
      <c r="A131" s="260" t="s">
        <v>266</v>
      </c>
      <c r="B131" s="260"/>
      <c r="C131" s="260"/>
      <c r="D131" s="260"/>
      <c r="E131" s="200">
        <v>2652</v>
      </c>
      <c r="F131" s="84">
        <v>407</v>
      </c>
      <c r="G131" s="76"/>
      <c r="H131" s="191">
        <f>'Табл. 1  Гос.задание(2)'!H98+'Табл. 2 Иные цели(2)'!H98+'Табл. 4.3 платные ВСЕГО '!H102+'Табл. 5 ОМС'!H100</f>
        <v>0</v>
      </c>
      <c r="I131" s="191">
        <f>'Табл. 1  Гос.задание(2)'!I98+'Табл. 2 Иные цели(2)'!I98+'Табл. 4.3 платные ВСЕГО '!I102+'Табл. 5 ОМС'!I100</f>
        <v>0</v>
      </c>
      <c r="J131" s="191">
        <f>'Табл. 1  Гос.задание(2)'!J98+'Табл. 2 Иные цели(2)'!J98+'Табл. 4.3 платные ВСЕГО '!J102+'Табл. 5 ОМС'!J100</f>
        <v>0</v>
      </c>
      <c r="K131" s="194">
        <f>'Табл. 1  Гос.задание(2)'!H100+'Табл. 2 Иные цели(2)'!H100+'Табл. 5 ОМС'!H101+'Табл. 4.3 платные ВСЕГО '!H101</f>
        <v>0</v>
      </c>
      <c r="L131" s="194">
        <f t="shared" si="2"/>
        <v>0</v>
      </c>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row>
    <row r="132" spans="1:75" s="28" customFormat="1" ht="19.5" customHeight="1" x14ac:dyDescent="0.25">
      <c r="A132" s="261" t="s">
        <v>143</v>
      </c>
      <c r="B132" s="261"/>
      <c r="C132" s="261"/>
      <c r="D132" s="261"/>
      <c r="E132" s="217">
        <v>3000</v>
      </c>
      <c r="F132" s="85">
        <v>100</v>
      </c>
      <c r="G132" s="77"/>
      <c r="H132" s="191">
        <f>'Табл. 1  Гос.задание(2)'!H99+'Табл. 2 Иные цели(2)'!H99+'Табл. 4.3 платные ВСЕГО '!H103+'Табл. 5 ОМС'!H101</f>
        <v>-5811</v>
      </c>
      <c r="I132" s="191">
        <f>'Табл. 1  Гос.задание(2)'!I99+'Табл. 2 Иные цели(2)'!I99+'Табл. 4.3 платные ВСЕГО '!I103+'Табл. 5 ОМС'!I101</f>
        <v>0</v>
      </c>
      <c r="J132" s="191">
        <f>'Табл. 1  Гос.задание(2)'!J99+'Табл. 2 Иные цели(2)'!J99+'Табл. 4.3 платные ВСЕГО '!J103+'Табл. 5 ОМС'!J101</f>
        <v>0</v>
      </c>
      <c r="K132" s="194">
        <f>'Табл. 1  Гос.задание(2)'!H101+'Табл. 2 Иные цели(2)'!H101+'Табл. 5 ОМС'!H102+'Табл. 4.3 платные ВСЕГО '!H102</f>
        <v>0</v>
      </c>
      <c r="L132" s="194">
        <f t="shared" si="2"/>
        <v>5811</v>
      </c>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row>
    <row r="133" spans="1:75" s="28" customFormat="1" ht="30.75" customHeight="1" x14ac:dyDescent="0.25">
      <c r="A133" s="260" t="s">
        <v>144</v>
      </c>
      <c r="B133" s="260"/>
      <c r="C133" s="260"/>
      <c r="D133" s="260"/>
      <c r="E133" s="200">
        <v>3010</v>
      </c>
      <c r="F133" s="84"/>
      <c r="G133" s="76"/>
      <c r="H133" s="191">
        <f>'Табл. 1  Гос.задание(2)'!H100+'Табл. 2 Иные цели(2)'!H100+'Табл. 4.3 платные ВСЕГО '!H104+'Табл. 5 ОМС'!H102</f>
        <v>0</v>
      </c>
      <c r="I133" s="191">
        <f>'Табл. 1  Гос.задание(2)'!I100+'Табл. 2 Иные цели(2)'!I100+'Табл. 4.3 платные ВСЕГО '!I104+'Табл. 5 ОМС'!I102</f>
        <v>0</v>
      </c>
      <c r="J133" s="191">
        <f>'Табл. 1  Гос.задание(2)'!J100+'Табл. 2 Иные цели(2)'!J100+'Табл. 4.3 платные ВСЕГО '!J104+'Табл. 5 ОМС'!J102</f>
        <v>0</v>
      </c>
      <c r="K133" s="194">
        <f>'Табл. 1  Гос.задание(2)'!H102+'Табл. 2 Иные цели(2)'!H102+'Табл. 5 ОМС'!H103+'Табл. 4.3 платные ВСЕГО '!H103</f>
        <v>-5811</v>
      </c>
      <c r="L133" s="194">
        <f t="shared" si="2"/>
        <v>-5811</v>
      </c>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row>
    <row r="134" spans="1:75" s="28" customFormat="1" ht="19.5" customHeight="1" x14ac:dyDescent="0.25">
      <c r="A134" s="260" t="s">
        <v>145</v>
      </c>
      <c r="B134" s="260"/>
      <c r="C134" s="260"/>
      <c r="D134" s="260"/>
      <c r="E134" s="200">
        <v>3020</v>
      </c>
      <c r="F134" s="84"/>
      <c r="G134" s="76"/>
      <c r="H134" s="191">
        <f>'Табл. 1  Гос.задание(2)'!H101+'Табл. 2 Иные цели(2)'!H101+'Табл. 4.3 платные ВСЕГО '!H105+'Табл. 5 ОМС'!H103</f>
        <v>-5811</v>
      </c>
      <c r="I134" s="191">
        <f>'Табл. 1  Гос.задание(2)'!I101+'Табл. 2 Иные цели(2)'!I101+'Табл. 4.3 платные ВСЕГО '!I105+'Табл. 5 ОМС'!I103</f>
        <v>0</v>
      </c>
      <c r="J134" s="191">
        <f>'Табл. 1  Гос.задание(2)'!J101+'Табл. 2 Иные цели(2)'!J101+'Табл. 4.3 платные ВСЕГО '!J105+'Табл. 5 ОМС'!J103</f>
        <v>0</v>
      </c>
      <c r="K134" s="194">
        <f>'Табл. 1  Гос.задание(2)'!H103+'Табл. 2 Иные цели(2)'!H103+'Табл. 5 ОМС'!H104+'Табл. 4.3 платные ВСЕГО '!H104</f>
        <v>0</v>
      </c>
      <c r="L134" s="194">
        <f t="shared" si="2"/>
        <v>5811</v>
      </c>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row>
    <row r="135" spans="1:75" s="28" customFormat="1" ht="19.5" customHeight="1" x14ac:dyDescent="0.25">
      <c r="A135" s="260" t="s">
        <v>146</v>
      </c>
      <c r="B135" s="260"/>
      <c r="C135" s="260"/>
      <c r="D135" s="260"/>
      <c r="E135" s="200">
        <v>3030</v>
      </c>
      <c r="F135" s="84"/>
      <c r="G135" s="76"/>
      <c r="H135" s="191">
        <f>'Табл. 1  Гос.задание(2)'!H102+'Табл. 2 Иные цели(2)'!H102+'Табл. 4.3 платные ВСЕГО '!H106+'Табл. 5 ОМС'!H104</f>
        <v>0</v>
      </c>
      <c r="I135" s="191">
        <f>'Табл. 1  Гос.задание(2)'!I102+'Табл. 2 Иные цели(2)'!I102+'Табл. 4.3 платные ВСЕГО '!I106+'Табл. 5 ОМС'!I104</f>
        <v>0</v>
      </c>
      <c r="J135" s="191">
        <f>'Табл. 1  Гос.задание(2)'!J102+'Табл. 2 Иные цели(2)'!J102+'Табл. 4.3 платные ВСЕГО '!J106+'Табл. 5 ОМС'!J104</f>
        <v>0</v>
      </c>
      <c r="K135" s="194">
        <f>'Табл. 1  Гос.задание(2)'!H104+'Табл. 2 Иные цели(2)'!H104+'Табл. 5 ОМС'!H105+'Табл. 4.3 платные ВСЕГО '!H105</f>
        <v>-5811</v>
      </c>
      <c r="L135" s="194">
        <f t="shared" si="2"/>
        <v>-5811</v>
      </c>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row>
    <row r="136" spans="1:75" s="28" customFormat="1" ht="19.5" customHeight="1" x14ac:dyDescent="0.25">
      <c r="A136" s="261" t="s">
        <v>147</v>
      </c>
      <c r="B136" s="261"/>
      <c r="C136" s="261"/>
      <c r="D136" s="261"/>
      <c r="E136" s="217">
        <v>4000</v>
      </c>
      <c r="F136" s="85" t="s">
        <v>9</v>
      </c>
      <c r="G136" s="77"/>
      <c r="H136" s="191">
        <f>'Табл. 1  Гос.задание(2)'!H103+'Табл. 2 Иные цели(2)'!H103+'Табл. 4.3 платные ВСЕГО '!H107+'Табл. 5 ОМС'!H105</f>
        <v>0</v>
      </c>
      <c r="I136" s="191">
        <f>'Табл. 1  Гос.задание(2)'!I103+'Табл. 2 Иные цели(2)'!I103+'Табл. 4.3 платные ВСЕГО '!I107+'Табл. 5 ОМС'!I105</f>
        <v>0</v>
      </c>
      <c r="J136" s="191">
        <f>'Табл. 1  Гос.задание(2)'!J103+'Табл. 2 Иные цели(2)'!J103+'Табл. 4.3 платные ВСЕГО '!J107+'Табл. 5 ОМС'!J105</f>
        <v>0</v>
      </c>
      <c r="K136" s="194">
        <f>'Табл. 1  Гос.задание(2)'!H105+'Табл. 2 Иные цели(2)'!H105+'Табл. 5 ОМС'!H106+'Табл. 4.3 платные ВСЕГО '!H106</f>
        <v>0</v>
      </c>
      <c r="L136" s="194">
        <f t="shared" si="2"/>
        <v>0</v>
      </c>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row>
    <row r="137" spans="1:75" s="28" customFormat="1" ht="27" customHeight="1" x14ac:dyDescent="0.25">
      <c r="A137" s="260" t="s">
        <v>148</v>
      </c>
      <c r="B137" s="260"/>
      <c r="C137" s="260"/>
      <c r="D137" s="260"/>
      <c r="E137" s="200">
        <v>4010</v>
      </c>
      <c r="F137" s="84">
        <v>610</v>
      </c>
      <c r="G137" s="76"/>
      <c r="H137" s="191">
        <f>'Табл. 1  Гос.задание(2)'!H104+'Табл. 2 Иные цели(2)'!H104+'Табл. 4.3 платные ВСЕГО '!H108+'Табл. 5 ОМС'!H106</f>
        <v>0</v>
      </c>
      <c r="I137" s="191">
        <f>'Табл. 1  Гос.задание(2)'!I104+'Табл. 2 Иные цели(2)'!I104+'Табл. 4.3 платные ВСЕГО '!I108+'Табл. 5 ОМС'!I106</f>
        <v>0</v>
      </c>
      <c r="J137" s="191">
        <f>'Табл. 1  Гос.задание(2)'!J104+'Табл. 2 Иные цели(2)'!J104+'Табл. 4.3 платные ВСЕГО '!J108+'Табл. 5 ОМС'!J106</f>
        <v>0</v>
      </c>
      <c r="K137" s="194">
        <f>'Табл. 1  Гос.задание(2)'!H106+'Табл. 2 Иные цели(2)'!H106+'Табл. 5 ОМС'!H107+'Табл. 4.3 платные ВСЕГО '!H107</f>
        <v>0</v>
      </c>
      <c r="L137" s="194">
        <f t="shared" si="2"/>
        <v>0</v>
      </c>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row>
    <row r="138" spans="1:75" s="28" customFormat="1" ht="19.5" customHeight="1" x14ac:dyDescent="0.25">
      <c r="A138" s="79"/>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row>
    <row r="139" spans="1:75" s="70" customFormat="1" ht="11.25" customHeight="1" x14ac:dyDescent="0.2">
      <c r="A139" s="256" t="s">
        <v>149</v>
      </c>
      <c r="B139" s="256"/>
      <c r="C139" s="256"/>
      <c r="D139" s="256"/>
      <c r="E139" s="256"/>
      <c r="F139" s="256"/>
      <c r="G139" s="256"/>
      <c r="H139" s="256"/>
      <c r="I139" s="256"/>
      <c r="J139" s="256"/>
    </row>
    <row r="140" spans="1:75" s="70" customFormat="1" ht="11.25" customHeight="1" x14ac:dyDescent="0.2">
      <c r="A140" s="256" t="s">
        <v>268</v>
      </c>
      <c r="B140" s="256"/>
      <c r="C140" s="256"/>
      <c r="D140" s="256"/>
      <c r="E140" s="256"/>
      <c r="F140" s="256"/>
      <c r="G140" s="256"/>
      <c r="H140" s="256"/>
      <c r="I140" s="256"/>
      <c r="J140" s="256"/>
    </row>
    <row r="141" spans="1:75" s="70" customFormat="1" ht="11.25" customHeight="1" x14ac:dyDescent="0.2">
      <c r="A141" s="256" t="s">
        <v>150</v>
      </c>
      <c r="B141" s="256"/>
      <c r="C141" s="256"/>
      <c r="D141" s="256"/>
      <c r="E141" s="256"/>
      <c r="F141" s="256"/>
      <c r="G141" s="256"/>
      <c r="H141" s="256"/>
      <c r="I141" s="256"/>
      <c r="J141" s="256"/>
    </row>
    <row r="142" spans="1:75" s="70" customFormat="1" ht="10.5" customHeight="1" x14ac:dyDescent="0.2">
      <c r="A142" s="256" t="s">
        <v>151</v>
      </c>
      <c r="B142" s="256"/>
      <c r="C142" s="256"/>
      <c r="D142" s="256"/>
      <c r="E142" s="256"/>
      <c r="F142" s="256"/>
      <c r="G142" s="256"/>
      <c r="H142" s="256"/>
      <c r="I142" s="256"/>
      <c r="J142" s="256"/>
    </row>
    <row r="143" spans="1:75" s="70" customFormat="1" ht="10.5" customHeight="1" x14ac:dyDescent="0.2">
      <c r="A143" s="256" t="s">
        <v>152</v>
      </c>
      <c r="B143" s="256"/>
      <c r="C143" s="256"/>
      <c r="D143" s="256"/>
      <c r="E143" s="256"/>
      <c r="F143" s="256"/>
      <c r="G143" s="256"/>
      <c r="H143" s="256"/>
      <c r="I143" s="256"/>
      <c r="J143" s="256"/>
    </row>
    <row r="144" spans="1:75" s="70" customFormat="1" ht="10.5" customHeight="1" x14ac:dyDescent="0.2">
      <c r="A144" s="256" t="s">
        <v>153</v>
      </c>
      <c r="B144" s="256"/>
      <c r="C144" s="256"/>
      <c r="D144" s="256"/>
      <c r="E144" s="256"/>
      <c r="F144" s="256"/>
      <c r="G144" s="256"/>
      <c r="H144" s="256"/>
      <c r="I144" s="256"/>
      <c r="J144" s="256"/>
    </row>
    <row r="145" spans="1:148" s="70" customFormat="1" ht="19.5" customHeight="1" x14ac:dyDescent="0.2">
      <c r="A145" s="262" t="s">
        <v>154</v>
      </c>
      <c r="B145" s="262"/>
      <c r="C145" s="262"/>
      <c r="D145" s="262"/>
      <c r="E145" s="262"/>
      <c r="F145" s="262"/>
      <c r="G145" s="262"/>
      <c r="H145" s="262"/>
      <c r="I145" s="262"/>
      <c r="J145" s="262"/>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row>
    <row r="146" spans="1:148" s="70" customFormat="1" ht="10.5" customHeight="1" x14ac:dyDescent="0.2">
      <c r="A146" s="262" t="s">
        <v>267</v>
      </c>
      <c r="B146" s="262"/>
      <c r="C146" s="262"/>
      <c r="D146" s="262"/>
      <c r="E146" s="262"/>
      <c r="F146" s="262"/>
      <c r="G146" s="262"/>
      <c r="H146" s="262"/>
      <c r="I146" s="262"/>
      <c r="J146" s="262"/>
    </row>
    <row r="147" spans="1:148" s="70" customFormat="1" ht="30" customHeight="1" x14ac:dyDescent="0.2">
      <c r="A147" s="262" t="s">
        <v>155</v>
      </c>
      <c r="B147" s="262"/>
      <c r="C147" s="262"/>
      <c r="D147" s="262"/>
      <c r="E147" s="262"/>
      <c r="F147" s="262"/>
      <c r="G147" s="262"/>
      <c r="H147" s="262"/>
      <c r="I147" s="262"/>
      <c r="J147" s="262"/>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row>
    <row r="148" spans="1:148" s="70" customFormat="1" ht="19.5" customHeight="1" x14ac:dyDescent="0.2">
      <c r="A148" s="262" t="s">
        <v>260</v>
      </c>
      <c r="B148" s="262"/>
      <c r="C148" s="262"/>
      <c r="D148" s="262"/>
      <c r="E148" s="262"/>
      <c r="F148" s="262"/>
      <c r="G148" s="262"/>
      <c r="H148" s="262"/>
      <c r="I148" s="262"/>
      <c r="J148" s="262"/>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row>
    <row r="149" spans="1:148" s="70" customFormat="1" ht="35.25" customHeight="1" x14ac:dyDescent="0.2">
      <c r="A149" s="262" t="s">
        <v>156</v>
      </c>
      <c r="B149" s="262"/>
      <c r="C149" s="262"/>
      <c r="D149" s="262"/>
      <c r="E149" s="262"/>
      <c r="F149" s="262"/>
      <c r="G149" s="262"/>
      <c r="H149" s="262"/>
      <c r="I149" s="262"/>
      <c r="J149" s="262"/>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row>
    <row r="150" spans="1:148" s="70" customFormat="1" ht="11.25" customHeight="1" x14ac:dyDescent="0.2">
      <c r="A150" s="262" t="s">
        <v>157</v>
      </c>
      <c r="B150" s="262"/>
      <c r="C150" s="262"/>
      <c r="D150" s="262"/>
      <c r="E150" s="262"/>
      <c r="F150" s="262"/>
      <c r="G150" s="262"/>
      <c r="H150" s="262"/>
      <c r="I150" s="262"/>
      <c r="J150" s="262"/>
    </row>
    <row r="151" spans="1:148" s="70" customFormat="1" ht="11.25" customHeight="1" x14ac:dyDescent="0.2">
      <c r="A151" s="262" t="s">
        <v>158</v>
      </c>
      <c r="B151" s="262"/>
      <c r="C151" s="262"/>
      <c r="D151" s="262"/>
      <c r="E151" s="262"/>
      <c r="F151" s="262"/>
      <c r="G151" s="262"/>
      <c r="H151" s="262"/>
      <c r="I151" s="262"/>
      <c r="J151" s="262"/>
    </row>
    <row r="152" spans="1:148" s="70" customFormat="1" ht="15.75" customHeight="1" x14ac:dyDescent="0.2">
      <c r="A152" s="262" t="s">
        <v>255</v>
      </c>
      <c r="B152" s="262"/>
      <c r="C152" s="262"/>
      <c r="D152" s="262"/>
      <c r="E152" s="262"/>
      <c r="F152" s="262"/>
      <c r="G152" s="262"/>
      <c r="H152" s="262"/>
      <c r="I152" s="262"/>
      <c r="J152" s="262"/>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row>
    <row r="153" spans="1:148" s="28" customFormat="1" ht="19.5" customHeight="1" x14ac:dyDescent="0.25">
      <c r="A153" s="256"/>
      <c r="B153" s="256"/>
      <c r="C153" s="256"/>
      <c r="D153" s="256"/>
      <c r="E153" s="256"/>
      <c r="F153" s="256"/>
      <c r="G153" s="256"/>
      <c r="H153" s="256"/>
      <c r="I153" s="256"/>
      <c r="J153" s="256"/>
    </row>
    <row r="154" spans="1:148" s="28" customFormat="1" ht="19.5" customHeight="1" x14ac:dyDescent="0.25">
      <c r="H154" s="252">
        <f>H43+H45-H72+H132</f>
        <v>0</v>
      </c>
      <c r="I154" s="241">
        <f>I43+I45-I72+I132</f>
        <v>0</v>
      </c>
      <c r="J154" s="241">
        <f>J43+J45-J72+J132</f>
        <v>0</v>
      </c>
    </row>
    <row r="155" spans="1:148" s="28" customFormat="1" ht="19.5" customHeight="1" x14ac:dyDescent="0.25"/>
    <row r="156" spans="1:148" s="28" customFormat="1" ht="19.5" customHeight="1" x14ac:dyDescent="0.25"/>
    <row r="157" spans="1:148" s="28" customFormat="1" ht="19.5" customHeight="1" x14ac:dyDescent="0.25"/>
    <row r="158" spans="1:148" s="28" customFormat="1" ht="19.5" customHeight="1" x14ac:dyDescent="0.25"/>
    <row r="159" spans="1:148" s="28" customFormat="1" ht="19.5" customHeight="1" x14ac:dyDescent="0.25"/>
    <row r="160" spans="1:148" s="28" customFormat="1" ht="19.5" customHeight="1" x14ac:dyDescent="0.25"/>
    <row r="161" s="28" customFormat="1" ht="19.5" customHeight="1" x14ac:dyDescent="0.25"/>
    <row r="162" s="28" customFormat="1" ht="19.5" customHeight="1" x14ac:dyDescent="0.25"/>
    <row r="163" s="28" customFormat="1" ht="19.5" customHeight="1" x14ac:dyDescent="0.25"/>
    <row r="164" s="28" customFormat="1" ht="19.5" customHeight="1" x14ac:dyDescent="0.25"/>
    <row r="165" s="28" customFormat="1" ht="19.5" customHeight="1" x14ac:dyDescent="0.25"/>
    <row r="166" s="28" customFormat="1" ht="19.5" customHeight="1" x14ac:dyDescent="0.25"/>
    <row r="167" s="28" customFormat="1" ht="19.5" customHeight="1" x14ac:dyDescent="0.25"/>
    <row r="168" s="28" customFormat="1" ht="19.5" customHeight="1" x14ac:dyDescent="0.25"/>
    <row r="169" s="28" customFormat="1" ht="19.5" customHeight="1" x14ac:dyDescent="0.25"/>
    <row r="170" s="28" customFormat="1" ht="19.5" customHeight="1" x14ac:dyDescent="0.25"/>
    <row r="171" s="28" customFormat="1" ht="19.5" customHeight="1" x14ac:dyDescent="0.25"/>
    <row r="172" s="28" customFormat="1" ht="19.5" customHeight="1" x14ac:dyDescent="0.25"/>
    <row r="173" s="28" customFormat="1" ht="19.5" customHeight="1" x14ac:dyDescent="0.25"/>
    <row r="174" s="28" customFormat="1" ht="19.5" customHeight="1" x14ac:dyDescent="0.25"/>
    <row r="175" s="28" customFormat="1" ht="19.5" customHeight="1" x14ac:dyDescent="0.25"/>
    <row r="176" s="28" customFormat="1" ht="19.5" customHeight="1" x14ac:dyDescent="0.25"/>
    <row r="177" s="28" customFormat="1" ht="19.5" customHeight="1" x14ac:dyDescent="0.25"/>
    <row r="178" s="28" customFormat="1" ht="19.5" customHeight="1" x14ac:dyDescent="0.25"/>
    <row r="179" s="28" customFormat="1" ht="19.5" customHeight="1" x14ac:dyDescent="0.25"/>
    <row r="180" s="28" customFormat="1" ht="19.5" customHeight="1" x14ac:dyDescent="0.25"/>
    <row r="181" s="28" customFormat="1" ht="19.5" customHeight="1" x14ac:dyDescent="0.25"/>
    <row r="182" s="28" customFormat="1" ht="19.5" customHeight="1" x14ac:dyDescent="0.25"/>
    <row r="183" s="28" customFormat="1" ht="19.5" customHeight="1" x14ac:dyDescent="0.25"/>
    <row r="184" s="28" customFormat="1" ht="19.5" customHeight="1" x14ac:dyDescent="0.25"/>
    <row r="185" s="28" customFormat="1" ht="19.5" customHeight="1" x14ac:dyDescent="0.25"/>
    <row r="186" s="28" customFormat="1" ht="19.5" customHeight="1" x14ac:dyDescent="0.25"/>
    <row r="187" s="28" customFormat="1" ht="19.5" customHeight="1" x14ac:dyDescent="0.25"/>
    <row r="188" s="28" customFormat="1" ht="19.5" customHeight="1" x14ac:dyDescent="0.25"/>
    <row r="189" s="28" customFormat="1" ht="19.5" customHeight="1" x14ac:dyDescent="0.25"/>
    <row r="190" s="28" customFormat="1" ht="19.5" customHeight="1" x14ac:dyDescent="0.25"/>
    <row r="191" s="28" customFormat="1" ht="19.5" customHeight="1" x14ac:dyDescent="0.25"/>
    <row r="192" s="28" customFormat="1" ht="19.5" customHeight="1" x14ac:dyDescent="0.25"/>
    <row r="193" s="28" customFormat="1" ht="19.5" customHeight="1" x14ac:dyDescent="0.25"/>
    <row r="194" s="28" customFormat="1" ht="19.5" customHeight="1" x14ac:dyDescent="0.25"/>
    <row r="195" s="28" customFormat="1" ht="19.5" customHeight="1" x14ac:dyDescent="0.25"/>
    <row r="196" s="28" customFormat="1" ht="19.5" customHeight="1" x14ac:dyDescent="0.25"/>
    <row r="197" s="28" customFormat="1" ht="19.5" customHeight="1" x14ac:dyDescent="0.25"/>
    <row r="198" s="28" customFormat="1" ht="19.5" customHeight="1" x14ac:dyDescent="0.25"/>
    <row r="199" s="28" customFormat="1" ht="19.5" customHeight="1" x14ac:dyDescent="0.25"/>
    <row r="200" s="28" customFormat="1" ht="19.5" customHeight="1" x14ac:dyDescent="0.25"/>
    <row r="201" s="28" customFormat="1" ht="19.5" customHeight="1" x14ac:dyDescent="0.25"/>
    <row r="202" s="28" customFormat="1" ht="19.5" customHeight="1" x14ac:dyDescent="0.25"/>
    <row r="203" s="28" customFormat="1" ht="19.5" customHeight="1" x14ac:dyDescent="0.25"/>
    <row r="204" s="28" customFormat="1" ht="19.5" customHeight="1" x14ac:dyDescent="0.25"/>
    <row r="205" s="28" customFormat="1" ht="19.5" customHeight="1" x14ac:dyDescent="0.25"/>
    <row r="206" s="28" customFormat="1" ht="19.5" customHeight="1" x14ac:dyDescent="0.25"/>
    <row r="207" s="28" customFormat="1" ht="19.5" customHeight="1" x14ac:dyDescent="0.25"/>
    <row r="208" s="28" customFormat="1" ht="19.5" customHeight="1" x14ac:dyDescent="0.25"/>
    <row r="209" s="28" customFormat="1" ht="19.5" customHeight="1" x14ac:dyDescent="0.25"/>
    <row r="210" s="28" customFormat="1" ht="19.5" customHeight="1" x14ac:dyDescent="0.25"/>
    <row r="211" s="28" customFormat="1" ht="19.5" customHeight="1" x14ac:dyDescent="0.25"/>
    <row r="212" s="28" customFormat="1" ht="19.5" customHeight="1" x14ac:dyDescent="0.25"/>
    <row r="213" s="28" customFormat="1" ht="19.5" customHeight="1" x14ac:dyDescent="0.25"/>
    <row r="214" s="28" customFormat="1" ht="19.5" customHeight="1" x14ac:dyDescent="0.25"/>
    <row r="215" s="28" customFormat="1" ht="19.5" customHeight="1" x14ac:dyDescent="0.25"/>
    <row r="216" s="28" customFormat="1" ht="19.5" customHeight="1" x14ac:dyDescent="0.25"/>
    <row r="217" s="28" customFormat="1" ht="19.5" customHeight="1" x14ac:dyDescent="0.25"/>
    <row r="218" s="28" customFormat="1" ht="19.5" customHeight="1" x14ac:dyDescent="0.25"/>
    <row r="219" s="28" customFormat="1" ht="19.5" customHeight="1" x14ac:dyDescent="0.25"/>
    <row r="220" s="28" customFormat="1" ht="19.5" customHeight="1" x14ac:dyDescent="0.25"/>
    <row r="221" s="28" customFormat="1" ht="19.5" customHeight="1" x14ac:dyDescent="0.25"/>
    <row r="222" s="28" customFormat="1" ht="19.5" customHeight="1" x14ac:dyDescent="0.25"/>
    <row r="223" s="28" customFormat="1" ht="19.5" customHeight="1" x14ac:dyDescent="0.25"/>
    <row r="224" s="28" customFormat="1" ht="19.5" customHeight="1" x14ac:dyDescent="0.25"/>
    <row r="225" s="28" customFormat="1" ht="19.5" customHeight="1" x14ac:dyDescent="0.25"/>
    <row r="226" s="28" customFormat="1" ht="19.5" customHeight="1" x14ac:dyDescent="0.25"/>
    <row r="227" s="28" customFormat="1" ht="19.5" customHeight="1" x14ac:dyDescent="0.25"/>
    <row r="228" s="28" customFormat="1" ht="19.5" customHeight="1" x14ac:dyDescent="0.25"/>
    <row r="229" s="28" customFormat="1" ht="19.5" customHeight="1" x14ac:dyDescent="0.25"/>
    <row r="230" s="28" customFormat="1" ht="19.5" customHeight="1" x14ac:dyDescent="0.25"/>
    <row r="231" s="28" customFormat="1" ht="19.5" customHeight="1" x14ac:dyDescent="0.25"/>
    <row r="232" s="28" customFormat="1" ht="19.5" customHeight="1" x14ac:dyDescent="0.25"/>
    <row r="233" s="28" customFormat="1" ht="19.5" customHeight="1" x14ac:dyDescent="0.25"/>
    <row r="234" s="28" customFormat="1" ht="19.5" customHeight="1" x14ac:dyDescent="0.25"/>
    <row r="235" s="28" customFormat="1" ht="19.5" customHeight="1" x14ac:dyDescent="0.25"/>
    <row r="236" s="28" customFormat="1" ht="19.5" customHeight="1" x14ac:dyDescent="0.25"/>
    <row r="237" s="28" customFormat="1" ht="19.5" customHeight="1" x14ac:dyDescent="0.25"/>
    <row r="238" s="28" customFormat="1" ht="19.5" customHeight="1" x14ac:dyDescent="0.25"/>
    <row r="239" s="28" customFormat="1" ht="19.5" customHeight="1" x14ac:dyDescent="0.25"/>
    <row r="240" s="28" customFormat="1" ht="19.5" customHeight="1" x14ac:dyDescent="0.25"/>
    <row r="241" s="28" customFormat="1" ht="19.5" customHeight="1" x14ac:dyDescent="0.25"/>
    <row r="242" s="28" customFormat="1" ht="19.5" customHeight="1" x14ac:dyDescent="0.25"/>
    <row r="243" s="28" customFormat="1" ht="19.5" customHeight="1" x14ac:dyDescent="0.25"/>
    <row r="244" s="28" customFormat="1" ht="19.5" customHeight="1" x14ac:dyDescent="0.25"/>
    <row r="245" s="28" customFormat="1" ht="19.5" customHeight="1" x14ac:dyDescent="0.25"/>
    <row r="246" s="28" customFormat="1" ht="19.5" customHeight="1" x14ac:dyDescent="0.25"/>
    <row r="247" s="28" customFormat="1" ht="19.5" customHeight="1" x14ac:dyDescent="0.25"/>
    <row r="248" s="28" customFormat="1" ht="19.5" customHeight="1" x14ac:dyDescent="0.25"/>
    <row r="249" s="28" customFormat="1" ht="19.5" customHeight="1" x14ac:dyDescent="0.25"/>
    <row r="250" s="28" customFormat="1" ht="19.5" customHeight="1" x14ac:dyDescent="0.25"/>
    <row r="251" s="28" customFormat="1" ht="19.5" customHeight="1" x14ac:dyDescent="0.25"/>
    <row r="252" s="28" customFormat="1" ht="19.5" customHeight="1" x14ac:dyDescent="0.25"/>
    <row r="253" s="28" customFormat="1" ht="19.5" customHeight="1" x14ac:dyDescent="0.25"/>
    <row r="254" s="28" customFormat="1" ht="19.5" customHeight="1" x14ac:dyDescent="0.25"/>
    <row r="255" s="28" customFormat="1" ht="19.5" customHeight="1" x14ac:dyDescent="0.25"/>
    <row r="256" s="28" customFormat="1" ht="19.5" customHeight="1" x14ac:dyDescent="0.25"/>
    <row r="257" s="28" customFormat="1" ht="19.5" customHeight="1" x14ac:dyDescent="0.25"/>
    <row r="258" s="28" customFormat="1" ht="19.5" customHeight="1" x14ac:dyDescent="0.25"/>
    <row r="259" s="28" customFormat="1" ht="19.5" customHeight="1" x14ac:dyDescent="0.25"/>
    <row r="260" s="28" customFormat="1" ht="19.5" customHeight="1" x14ac:dyDescent="0.25"/>
    <row r="261" s="28" customFormat="1" ht="19.5" customHeight="1" x14ac:dyDescent="0.25"/>
    <row r="262" s="28" customFormat="1" ht="19.5" customHeight="1" x14ac:dyDescent="0.25"/>
    <row r="263" s="28" customFormat="1" ht="19.5" customHeight="1" x14ac:dyDescent="0.25"/>
    <row r="264" s="28" customFormat="1" ht="19.5" customHeight="1" x14ac:dyDescent="0.25"/>
    <row r="265" s="28" customFormat="1" ht="19.5" customHeight="1" x14ac:dyDescent="0.25"/>
    <row r="266" s="28" customFormat="1" ht="19.5" customHeight="1" x14ac:dyDescent="0.25"/>
    <row r="267" s="28" customFormat="1" ht="19.5" customHeight="1" x14ac:dyDescent="0.25"/>
    <row r="268" s="28" customFormat="1" ht="19.5" customHeight="1" x14ac:dyDescent="0.25"/>
    <row r="269" s="28" customFormat="1" ht="19.5" customHeight="1" x14ac:dyDescent="0.25"/>
    <row r="270" s="28" customFormat="1" ht="19.5" customHeight="1" x14ac:dyDescent="0.25"/>
    <row r="271" s="28" customFormat="1" ht="19.5" customHeight="1" x14ac:dyDescent="0.25"/>
    <row r="272" s="28" customFormat="1" ht="19.5" customHeight="1" x14ac:dyDescent="0.25"/>
    <row r="273" s="28" customFormat="1" ht="19.5" customHeight="1" x14ac:dyDescent="0.25"/>
    <row r="274" s="28" customFormat="1" ht="19.5" customHeight="1" x14ac:dyDescent="0.25"/>
    <row r="275" s="28" customFormat="1" ht="19.5" customHeight="1" x14ac:dyDescent="0.25"/>
    <row r="276" s="28" customFormat="1" ht="19.5" customHeight="1" x14ac:dyDescent="0.25"/>
    <row r="277" s="28" customFormat="1" ht="19.5" customHeight="1" x14ac:dyDescent="0.25"/>
    <row r="278" s="28" customFormat="1" ht="19.5" customHeight="1" x14ac:dyDescent="0.25"/>
    <row r="279" s="28" customFormat="1" ht="19.5" customHeight="1" x14ac:dyDescent="0.25"/>
    <row r="280" s="28" customFormat="1" ht="19.5" customHeight="1" x14ac:dyDescent="0.25"/>
    <row r="281" s="28" customFormat="1" ht="19.5" customHeight="1" x14ac:dyDescent="0.25"/>
    <row r="282" s="28" customFormat="1" ht="19.5" customHeight="1" x14ac:dyDescent="0.25"/>
    <row r="283" s="28" customFormat="1" ht="19.5" customHeight="1" x14ac:dyDescent="0.25"/>
    <row r="284" s="28" customFormat="1" ht="19.5" customHeight="1" x14ac:dyDescent="0.25"/>
    <row r="285" s="28" customFormat="1" ht="19.5" customHeight="1" x14ac:dyDescent="0.25"/>
    <row r="286" s="28" customFormat="1" ht="19.5" customHeight="1" x14ac:dyDescent="0.25"/>
    <row r="287" s="28" customFormat="1" ht="19.5" customHeight="1" x14ac:dyDescent="0.25"/>
    <row r="288" s="28" customFormat="1" ht="19.5" customHeight="1" x14ac:dyDescent="0.25"/>
    <row r="289" s="28" customFormat="1" ht="19.5" customHeight="1" x14ac:dyDescent="0.25"/>
    <row r="290" s="28" customFormat="1" ht="19.5" customHeight="1" x14ac:dyDescent="0.25"/>
    <row r="291" s="28" customFormat="1" ht="19.5" customHeight="1" x14ac:dyDescent="0.25"/>
    <row r="292" s="28" customFormat="1" ht="19.5" customHeight="1" x14ac:dyDescent="0.25"/>
    <row r="293" s="28" customFormat="1" ht="19.5" customHeight="1" x14ac:dyDescent="0.25"/>
    <row r="294" s="28" customFormat="1" ht="19.5" customHeight="1" x14ac:dyDescent="0.25"/>
    <row r="295" s="28" customFormat="1" ht="19.5" customHeight="1" x14ac:dyDescent="0.25"/>
    <row r="296" s="28" customFormat="1" ht="19.5" customHeight="1" x14ac:dyDescent="0.25"/>
    <row r="297" s="28" customFormat="1" ht="19.5" customHeight="1" x14ac:dyDescent="0.25"/>
    <row r="298" s="28" customFormat="1" ht="19.5" customHeight="1" x14ac:dyDescent="0.25"/>
    <row r="299" s="28" customFormat="1" ht="19.5" customHeight="1" x14ac:dyDescent="0.25"/>
    <row r="300" s="28" customFormat="1" ht="19.5" customHeight="1" x14ac:dyDescent="0.25"/>
    <row r="301" s="28" customFormat="1" ht="19.5" customHeight="1" x14ac:dyDescent="0.25"/>
    <row r="302" s="28" customFormat="1" ht="19.5" customHeight="1" x14ac:dyDescent="0.25"/>
    <row r="303" s="28" customFormat="1" ht="19.5" customHeight="1" x14ac:dyDescent="0.25"/>
    <row r="304" s="28" customFormat="1" ht="19.5" customHeight="1" x14ac:dyDescent="0.25"/>
    <row r="305" s="28" customFormat="1" ht="19.5" customHeight="1" x14ac:dyDescent="0.25"/>
    <row r="306" s="28" customFormat="1" ht="19.5" customHeight="1" x14ac:dyDescent="0.25"/>
    <row r="307" s="28" customFormat="1" ht="19.5" customHeight="1" x14ac:dyDescent="0.25"/>
    <row r="308" s="28" customFormat="1" ht="19.5" customHeight="1" x14ac:dyDescent="0.25"/>
    <row r="309" s="28" customFormat="1" ht="19.5" customHeight="1" x14ac:dyDescent="0.25"/>
    <row r="310" s="28" customFormat="1" ht="19.5" customHeight="1" x14ac:dyDescent="0.25"/>
    <row r="311" s="28" customFormat="1" ht="19.5" customHeight="1" x14ac:dyDescent="0.25"/>
    <row r="312" s="28" customFormat="1" ht="19.5" customHeight="1" x14ac:dyDescent="0.25"/>
    <row r="313" s="28" customFormat="1" ht="19.5" customHeight="1" x14ac:dyDescent="0.25"/>
    <row r="314" s="28" customFormat="1" ht="19.5" customHeight="1" x14ac:dyDescent="0.25"/>
    <row r="315" s="28" customFormat="1" ht="19.5" customHeight="1" x14ac:dyDescent="0.25"/>
    <row r="316" s="28" customFormat="1" ht="19.5" customHeight="1" x14ac:dyDescent="0.25"/>
    <row r="317" s="28" customFormat="1" ht="19.5" customHeight="1" x14ac:dyDescent="0.25"/>
    <row r="318" s="28" customFormat="1" ht="19.5" customHeight="1" x14ac:dyDescent="0.25"/>
    <row r="319" s="28" customFormat="1" ht="19.5" customHeight="1" x14ac:dyDescent="0.25"/>
  </sheetData>
  <autoFilter ref="A42:J67">
    <filterColumn colId="0" showButton="0"/>
    <filterColumn colId="1" showButton="0"/>
    <filterColumn colId="2" showButton="0"/>
  </autoFilter>
  <mergeCells count="141">
    <mergeCell ref="A103:D103"/>
    <mergeCell ref="A104:D104"/>
    <mergeCell ref="A105:D105"/>
    <mergeCell ref="A122:D122"/>
    <mergeCell ref="A123:D123"/>
    <mergeCell ref="A124:D124"/>
    <mergeCell ref="A106:D106"/>
    <mergeCell ref="A77:D77"/>
    <mergeCell ref="A78:D78"/>
    <mergeCell ref="A79:D79"/>
    <mergeCell ref="A114:D114"/>
    <mergeCell ref="A115:D115"/>
    <mergeCell ref="A81:D81"/>
    <mergeCell ref="A85:D85"/>
    <mergeCell ref="A83:D83"/>
    <mergeCell ref="A84:D84"/>
    <mergeCell ref="A99:D99"/>
    <mergeCell ref="A82:D82"/>
    <mergeCell ref="A95:D95"/>
    <mergeCell ref="A96:D96"/>
    <mergeCell ref="A97:D97"/>
    <mergeCell ref="A53:D53"/>
    <mergeCell ref="A54:D54"/>
    <mergeCell ref="A66:D66"/>
    <mergeCell ref="A62:D62"/>
    <mergeCell ref="A61:D61"/>
    <mergeCell ref="A43:D43"/>
    <mergeCell ref="A44:D44"/>
    <mergeCell ref="A45:D45"/>
    <mergeCell ref="A46:D46"/>
    <mergeCell ref="A47:D47"/>
    <mergeCell ref="A50:D50"/>
    <mergeCell ref="A49:D49"/>
    <mergeCell ref="A48:D48"/>
    <mergeCell ref="A51:D51"/>
    <mergeCell ref="A52:D52"/>
    <mergeCell ref="A55:D55"/>
    <mergeCell ref="A56:D56"/>
    <mergeCell ref="A57:D57"/>
    <mergeCell ref="A64:D64"/>
    <mergeCell ref="A65:D65"/>
    <mergeCell ref="A60:D60"/>
    <mergeCell ref="A58:D58"/>
    <mergeCell ref="A59:D59"/>
    <mergeCell ref="A63:D63"/>
    <mergeCell ref="A67:D67"/>
    <mergeCell ref="A98:D98"/>
    <mergeCell ref="A101:D101"/>
    <mergeCell ref="A102:D102"/>
    <mergeCell ref="A80:D80"/>
    <mergeCell ref="A87:D87"/>
    <mergeCell ref="A88:D88"/>
    <mergeCell ref="A89:D89"/>
    <mergeCell ref="A92:D92"/>
    <mergeCell ref="A93:D93"/>
    <mergeCell ref="A100:D100"/>
    <mergeCell ref="A94:D94"/>
    <mergeCell ref="A90:D90"/>
    <mergeCell ref="A91:D91"/>
    <mergeCell ref="A69:D69"/>
    <mergeCell ref="A70:D70"/>
    <mergeCell ref="A71:D71"/>
    <mergeCell ref="A74:D74"/>
    <mergeCell ref="A76:D76"/>
    <mergeCell ref="A73:D73"/>
    <mergeCell ref="A72:D72"/>
    <mergeCell ref="A75:D75"/>
    <mergeCell ref="A68:D68"/>
    <mergeCell ref="A86:D86"/>
    <mergeCell ref="A147:J147"/>
    <mergeCell ref="A133:D133"/>
    <mergeCell ref="A143:J143"/>
    <mergeCell ref="A137:D137"/>
    <mergeCell ref="A107:D107"/>
    <mergeCell ref="A131:D131"/>
    <mergeCell ref="A132:D132"/>
    <mergeCell ref="A127:D127"/>
    <mergeCell ref="A111:D111"/>
    <mergeCell ref="A112:D112"/>
    <mergeCell ref="A113:D113"/>
    <mergeCell ref="A130:D130"/>
    <mergeCell ref="A129:D129"/>
    <mergeCell ref="A109:D109"/>
    <mergeCell ref="A110:D110"/>
    <mergeCell ref="A120:D120"/>
    <mergeCell ref="A118:D118"/>
    <mergeCell ref="A116:D116"/>
    <mergeCell ref="A117:D117"/>
    <mergeCell ref="A125:D125"/>
    <mergeCell ref="A126:D126"/>
    <mergeCell ref="A121:D121"/>
    <mergeCell ref="A128:D128"/>
    <mergeCell ref="A108:D108"/>
    <mergeCell ref="G6:J6"/>
    <mergeCell ref="A28:H29"/>
    <mergeCell ref="C30:H30"/>
    <mergeCell ref="A37:J37"/>
    <mergeCell ref="H39:J39"/>
    <mergeCell ref="G8:J8"/>
    <mergeCell ref="E11:F11"/>
    <mergeCell ref="G12:H12"/>
    <mergeCell ref="I12:J12"/>
    <mergeCell ref="G11:H11"/>
    <mergeCell ref="F14:G14"/>
    <mergeCell ref="G9:J9"/>
    <mergeCell ref="G10:J10"/>
    <mergeCell ref="A16:J16"/>
    <mergeCell ref="F13:J13"/>
    <mergeCell ref="I11:J11"/>
    <mergeCell ref="A17:J17"/>
    <mergeCell ref="A18:J18"/>
    <mergeCell ref="D27:H27"/>
    <mergeCell ref="A19:J19"/>
    <mergeCell ref="E39:E41"/>
    <mergeCell ref="A39:D41"/>
    <mergeCell ref="F33:H34"/>
    <mergeCell ref="A32:I32"/>
    <mergeCell ref="A153:J153"/>
    <mergeCell ref="A42:D42"/>
    <mergeCell ref="A134:D134"/>
    <mergeCell ref="A135:D135"/>
    <mergeCell ref="A136:D136"/>
    <mergeCell ref="A148:J148"/>
    <mergeCell ref="A149:J149"/>
    <mergeCell ref="A21:J21"/>
    <mergeCell ref="A33:E34"/>
    <mergeCell ref="D26:H26"/>
    <mergeCell ref="G35:J35"/>
    <mergeCell ref="G39:G41"/>
    <mergeCell ref="F39:F41"/>
    <mergeCell ref="A150:J150"/>
    <mergeCell ref="A151:J151"/>
    <mergeCell ref="A152:J152"/>
    <mergeCell ref="A144:J144"/>
    <mergeCell ref="A139:J139"/>
    <mergeCell ref="A140:J140"/>
    <mergeCell ref="A141:J141"/>
    <mergeCell ref="A142:J142"/>
    <mergeCell ref="A119:D119"/>
    <mergeCell ref="A145:J145"/>
    <mergeCell ref="A146:J146"/>
  </mergeCells>
  <phoneticPr fontId="2" type="noConversion"/>
  <printOptions horizontalCentered="1"/>
  <pageMargins left="0.47244094488188981" right="0.27559055118110237" top="0.19685039370078741" bottom="0.23622047244094491" header="0" footer="0"/>
  <pageSetup paperSize="9" scale="52" fitToHeight="2" orientation="portrait" r:id="rId1"/>
  <headerFooter alignWithMargins="0"/>
  <rowBreaks count="1" manualBreakCount="1">
    <brk id="5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48"/>
  <sheetViews>
    <sheetView topLeftCell="A2" workbookViewId="0">
      <pane xSplit="3" ySplit="10" topLeftCell="D12" activePane="bottomRight" state="frozen"/>
      <selection activeCell="A2" sqref="A2"/>
      <selection pane="topRight" activeCell="D2" sqref="D2"/>
      <selection pane="bottomLeft" activeCell="A12" sqref="A12"/>
      <selection pane="bottomRight" activeCell="A4" sqref="A4:O48"/>
    </sheetView>
  </sheetViews>
  <sheetFormatPr defaultRowHeight="15.75" x14ac:dyDescent="0.25"/>
  <cols>
    <col min="1" max="1" width="8.42578125" style="40" customWidth="1"/>
    <col min="2" max="2" width="60.28515625" style="40" customWidth="1"/>
    <col min="3" max="3" width="13.85546875" style="1" customWidth="1"/>
    <col min="4" max="4" width="13.5703125" style="1" customWidth="1"/>
    <col min="5" max="6" width="11.7109375" style="1" customWidth="1"/>
    <col min="7" max="7" width="27" style="1" customWidth="1"/>
    <col min="8" max="8" width="14" style="1" customWidth="1"/>
    <col min="9" max="9" width="13.7109375" style="1" customWidth="1"/>
    <col min="10" max="10" width="14" style="1" customWidth="1"/>
    <col min="11" max="11" width="12.42578125" style="1" customWidth="1"/>
    <col min="12" max="12" width="19.42578125" style="1" customWidth="1"/>
    <col min="13" max="13" width="12.85546875" style="1" customWidth="1"/>
    <col min="14" max="14" width="11.7109375" style="1" customWidth="1"/>
    <col min="15" max="15" width="20" style="1" customWidth="1"/>
    <col min="16" max="16384" width="9.140625" style="1"/>
  </cols>
  <sheetData>
    <row r="1" spans="1:19" x14ac:dyDescent="0.25">
      <c r="O1" s="41" t="s">
        <v>44</v>
      </c>
    </row>
    <row r="2" spans="1:19" ht="1.5" customHeight="1" x14ac:dyDescent="0.25"/>
    <row r="3" spans="1:19" ht="1.5" customHeight="1" x14ac:dyDescent="0.25"/>
    <row r="4" spans="1:19" ht="23.25" customHeight="1" x14ac:dyDescent="0.25">
      <c r="A4" s="584" t="s">
        <v>327</v>
      </c>
      <c r="B4" s="584"/>
      <c r="C4" s="584"/>
      <c r="D4" s="584"/>
      <c r="E4" s="584"/>
    </row>
    <row r="5" spans="1:19" x14ac:dyDescent="0.25">
      <c r="A5" s="42"/>
      <c r="D5" s="1" t="s">
        <v>45</v>
      </c>
    </row>
    <row r="6" spans="1:19" ht="9.75" customHeight="1" x14ac:dyDescent="0.25">
      <c r="A6" s="43"/>
      <c r="B6" s="43"/>
      <c r="C6" s="44"/>
      <c r="D6" s="44"/>
      <c r="E6" s="44"/>
      <c r="F6" s="44"/>
      <c r="G6" s="44"/>
      <c r="H6" s="44"/>
      <c r="I6" s="44"/>
      <c r="J6" s="44"/>
      <c r="K6" s="44"/>
      <c r="L6" s="44"/>
    </row>
    <row r="7" spans="1:19" ht="18.75" customHeight="1" x14ac:dyDescent="0.25">
      <c r="A7" s="585" t="s">
        <v>328</v>
      </c>
      <c r="B7" s="585"/>
      <c r="C7" s="585"/>
      <c r="D7" s="585"/>
      <c r="E7" s="585"/>
      <c r="F7" s="585"/>
      <c r="G7" s="585"/>
      <c r="H7" s="585"/>
      <c r="I7" s="585"/>
      <c r="J7" s="585"/>
      <c r="K7" s="585"/>
      <c r="L7" s="45"/>
      <c r="M7" s="46"/>
      <c r="N7" s="46"/>
      <c r="O7" s="46"/>
      <c r="P7" s="46"/>
      <c r="Q7" s="46"/>
      <c r="R7" s="46"/>
      <c r="S7" s="46"/>
    </row>
    <row r="8" spans="1:19" s="47" customFormat="1" ht="33" customHeight="1" x14ac:dyDescent="0.2">
      <c r="A8" s="586"/>
      <c r="B8" s="579" t="s">
        <v>46</v>
      </c>
      <c r="C8" s="579" t="s">
        <v>47</v>
      </c>
      <c r="D8" s="581" t="s">
        <v>48</v>
      </c>
      <c r="E8" s="582"/>
      <c r="F8" s="582"/>
      <c r="G8" s="582"/>
      <c r="H8" s="582"/>
      <c r="I8" s="583"/>
      <c r="J8" s="576" t="s">
        <v>49</v>
      </c>
      <c r="K8" s="577"/>
      <c r="L8" s="578"/>
      <c r="M8" s="576" t="s">
        <v>50</v>
      </c>
      <c r="N8" s="577"/>
      <c r="O8" s="578"/>
    </row>
    <row r="9" spans="1:19" s="47" customFormat="1" ht="21" customHeight="1" x14ac:dyDescent="0.2">
      <c r="A9" s="586"/>
      <c r="B9" s="587"/>
      <c r="C9" s="587"/>
      <c r="D9" s="579" t="s">
        <v>51</v>
      </c>
      <c r="E9" s="581" t="s">
        <v>24</v>
      </c>
      <c r="F9" s="582"/>
      <c r="G9" s="582"/>
      <c r="H9" s="582"/>
      <c r="I9" s="583"/>
      <c r="J9" s="579" t="s">
        <v>51</v>
      </c>
      <c r="K9" s="581" t="s">
        <v>24</v>
      </c>
      <c r="L9" s="583"/>
      <c r="M9" s="579" t="s">
        <v>51</v>
      </c>
      <c r="N9" s="581" t="s">
        <v>24</v>
      </c>
      <c r="O9" s="583"/>
    </row>
    <row r="10" spans="1:19" s="47" customFormat="1" ht="66.75" customHeight="1" x14ac:dyDescent="0.2">
      <c r="A10" s="586"/>
      <c r="B10" s="580"/>
      <c r="C10" s="580"/>
      <c r="D10" s="580"/>
      <c r="E10" s="48" t="s">
        <v>52</v>
      </c>
      <c r="F10" s="48" t="s">
        <v>53</v>
      </c>
      <c r="G10" s="48" t="s">
        <v>54</v>
      </c>
      <c r="H10" s="48" t="s">
        <v>55</v>
      </c>
      <c r="I10" s="48" t="s">
        <v>56</v>
      </c>
      <c r="J10" s="580"/>
      <c r="K10" s="48" t="s">
        <v>52</v>
      </c>
      <c r="L10" s="48" t="s">
        <v>57</v>
      </c>
      <c r="M10" s="580"/>
      <c r="N10" s="48" t="s">
        <v>52</v>
      </c>
      <c r="O10" s="48" t="s">
        <v>57</v>
      </c>
    </row>
    <row r="11" spans="1:19" s="50" customFormat="1" ht="16.5" customHeight="1" x14ac:dyDescent="0.25">
      <c r="A11" s="19"/>
      <c r="B11" s="19" t="s">
        <v>58</v>
      </c>
      <c r="C11" s="49">
        <v>1</v>
      </c>
      <c r="D11" s="49">
        <v>2</v>
      </c>
      <c r="E11" s="49">
        <v>3</v>
      </c>
      <c r="F11" s="49">
        <v>4</v>
      </c>
      <c r="G11" s="49">
        <v>5</v>
      </c>
      <c r="H11" s="49">
        <v>6</v>
      </c>
      <c r="I11" s="49">
        <v>7</v>
      </c>
      <c r="J11" s="49">
        <v>8</v>
      </c>
      <c r="K11" s="49">
        <v>9</v>
      </c>
      <c r="L11" s="49">
        <v>10</v>
      </c>
      <c r="M11" s="49">
        <v>11</v>
      </c>
      <c r="N11" s="49">
        <v>12</v>
      </c>
      <c r="O11" s="49">
        <v>13</v>
      </c>
    </row>
    <row r="12" spans="1:19" ht="32.25" customHeight="1" x14ac:dyDescent="0.25">
      <c r="A12" s="128" t="s">
        <v>17</v>
      </c>
      <c r="B12" s="129" t="s">
        <v>85</v>
      </c>
      <c r="C12" s="130">
        <v>40</v>
      </c>
      <c r="D12" s="12" t="s">
        <v>61</v>
      </c>
      <c r="E12" s="12" t="s">
        <v>61</v>
      </c>
      <c r="F12" s="12" t="s">
        <v>61</v>
      </c>
      <c r="G12" s="12" t="s">
        <v>61</v>
      </c>
      <c r="H12" s="12" t="s">
        <v>61</v>
      </c>
      <c r="I12" s="12" t="s">
        <v>61</v>
      </c>
      <c r="J12" s="12" t="s">
        <v>61</v>
      </c>
      <c r="K12" s="12" t="s">
        <v>61</v>
      </c>
      <c r="L12" s="12" t="s">
        <v>61</v>
      </c>
      <c r="M12" s="12" t="s">
        <v>61</v>
      </c>
      <c r="N12" s="12" t="s">
        <v>61</v>
      </c>
      <c r="O12" s="12" t="s">
        <v>61</v>
      </c>
    </row>
    <row r="13" spans="1:19" ht="49.5" customHeight="1" x14ac:dyDescent="0.25">
      <c r="A13" s="19" t="s">
        <v>18</v>
      </c>
      <c r="B13" s="131" t="s">
        <v>329</v>
      </c>
      <c r="C13" s="132">
        <f>C15+C29+C30+C31</f>
        <v>33.75</v>
      </c>
      <c r="D13" s="133">
        <f t="shared" ref="D13:O13" si="0">D15+D29+D30+D31</f>
        <v>0</v>
      </c>
      <c r="E13" s="134">
        <f t="shared" si="0"/>
        <v>0</v>
      </c>
      <c r="F13" s="134">
        <f t="shared" si="0"/>
        <v>0</v>
      </c>
      <c r="G13" s="134">
        <f t="shared" si="0"/>
        <v>0</v>
      </c>
      <c r="H13" s="134">
        <f t="shared" si="0"/>
        <v>0</v>
      </c>
      <c r="I13" s="134">
        <f t="shared" si="0"/>
        <v>0</v>
      </c>
      <c r="J13" s="134">
        <f t="shared" si="0"/>
        <v>130</v>
      </c>
      <c r="K13" s="134">
        <f t="shared" si="0"/>
        <v>0</v>
      </c>
      <c r="L13" s="134">
        <f t="shared" si="0"/>
        <v>130</v>
      </c>
      <c r="M13" s="134">
        <f t="shared" si="0"/>
        <v>15685</v>
      </c>
      <c r="N13" s="134">
        <f t="shared" si="0"/>
        <v>5152.8</v>
      </c>
      <c r="O13" s="134">
        <f t="shared" si="0"/>
        <v>10532.2</v>
      </c>
    </row>
    <row r="14" spans="1:19" ht="33.75" customHeight="1" x14ac:dyDescent="0.25">
      <c r="A14" s="135" t="s">
        <v>16</v>
      </c>
      <c r="B14" s="136" t="s">
        <v>89</v>
      </c>
      <c r="C14" s="137">
        <f>C16+C29+C30+C32</f>
        <v>33.75</v>
      </c>
      <c r="D14" s="138">
        <f t="shared" ref="D14:O14" si="1">D16+D29+D30+D32</f>
        <v>0</v>
      </c>
      <c r="E14" s="139">
        <f t="shared" si="1"/>
        <v>0</v>
      </c>
      <c r="F14" s="139">
        <f t="shared" si="1"/>
        <v>0</v>
      </c>
      <c r="G14" s="139">
        <f t="shared" si="1"/>
        <v>0</v>
      </c>
      <c r="H14" s="139">
        <f t="shared" si="1"/>
        <v>0</v>
      </c>
      <c r="I14" s="139">
        <f t="shared" si="1"/>
        <v>0</v>
      </c>
      <c r="J14" s="139">
        <f t="shared" si="1"/>
        <v>130</v>
      </c>
      <c r="K14" s="139">
        <f t="shared" si="1"/>
        <v>0</v>
      </c>
      <c r="L14" s="139">
        <f t="shared" si="1"/>
        <v>130</v>
      </c>
      <c r="M14" s="139">
        <f t="shared" si="1"/>
        <v>15685</v>
      </c>
      <c r="N14" s="139">
        <f t="shared" si="1"/>
        <v>5152.8</v>
      </c>
      <c r="O14" s="139">
        <f t="shared" si="1"/>
        <v>10532.2</v>
      </c>
    </row>
    <row r="15" spans="1:19" ht="35.25" customHeight="1" x14ac:dyDescent="0.25">
      <c r="A15" s="140" t="s">
        <v>70</v>
      </c>
      <c r="B15" s="141" t="s">
        <v>87</v>
      </c>
      <c r="C15" s="132">
        <f>C17+C19+C21+C23+C25+C27</f>
        <v>22.75</v>
      </c>
      <c r="D15" s="133">
        <f t="shared" ref="D15:O16" si="2">D17+D19+D21+D23+D25+D27</f>
        <v>0</v>
      </c>
      <c r="E15" s="134">
        <f t="shared" si="2"/>
        <v>0</v>
      </c>
      <c r="F15" s="134">
        <f t="shared" si="2"/>
        <v>0</v>
      </c>
      <c r="G15" s="134">
        <f t="shared" si="2"/>
        <v>0</v>
      </c>
      <c r="H15" s="134">
        <f t="shared" si="2"/>
        <v>0</v>
      </c>
      <c r="I15" s="134">
        <f t="shared" si="2"/>
        <v>0</v>
      </c>
      <c r="J15" s="134">
        <f t="shared" si="2"/>
        <v>130</v>
      </c>
      <c r="K15" s="134">
        <f t="shared" si="2"/>
        <v>0</v>
      </c>
      <c r="L15" s="134">
        <f t="shared" si="2"/>
        <v>130</v>
      </c>
      <c r="M15" s="134">
        <f t="shared" si="2"/>
        <v>12325</v>
      </c>
      <c r="N15" s="134">
        <f t="shared" si="2"/>
        <v>3976.6</v>
      </c>
      <c r="O15" s="134">
        <f t="shared" si="2"/>
        <v>8348.4</v>
      </c>
    </row>
    <row r="16" spans="1:19" ht="33.75" customHeight="1" x14ac:dyDescent="0.25">
      <c r="A16" s="142"/>
      <c r="B16" s="143" t="s">
        <v>88</v>
      </c>
      <c r="C16" s="144">
        <f>C18+C20+C22+C24+C26+C28</f>
        <v>22.75</v>
      </c>
      <c r="D16" s="145">
        <f t="shared" si="2"/>
        <v>0</v>
      </c>
      <c r="E16" s="146">
        <f t="shared" si="2"/>
        <v>0</v>
      </c>
      <c r="F16" s="146">
        <f t="shared" si="2"/>
        <v>0</v>
      </c>
      <c r="G16" s="146">
        <f t="shared" si="2"/>
        <v>0</v>
      </c>
      <c r="H16" s="146">
        <f t="shared" si="2"/>
        <v>0</v>
      </c>
      <c r="I16" s="146">
        <f t="shared" si="2"/>
        <v>0</v>
      </c>
      <c r="J16" s="146">
        <f t="shared" si="2"/>
        <v>130</v>
      </c>
      <c r="K16" s="146">
        <f t="shared" si="2"/>
        <v>0</v>
      </c>
      <c r="L16" s="146">
        <f t="shared" si="2"/>
        <v>130</v>
      </c>
      <c r="M16" s="146">
        <f t="shared" si="2"/>
        <v>12325</v>
      </c>
      <c r="N16" s="146">
        <f t="shared" si="2"/>
        <v>3976.6</v>
      </c>
      <c r="O16" s="146">
        <f t="shared" si="2"/>
        <v>8348.4</v>
      </c>
    </row>
    <row r="17" spans="1:17" ht="35.25" customHeight="1" x14ac:dyDescent="0.25">
      <c r="A17" s="147" t="s">
        <v>71</v>
      </c>
      <c r="B17" s="148" t="s">
        <v>59</v>
      </c>
      <c r="C17" s="149">
        <v>4</v>
      </c>
      <c r="D17" s="150">
        <f t="shared" ref="D17:D32" si="3">SUM(E17:I17)</f>
        <v>0</v>
      </c>
      <c r="E17" s="151"/>
      <c r="F17" s="151"/>
      <c r="G17" s="151"/>
      <c r="H17" s="151"/>
      <c r="I17" s="151"/>
      <c r="J17" s="152">
        <f t="shared" ref="J17:J32" si="4">K17+L17</f>
        <v>30</v>
      </c>
      <c r="K17" s="151"/>
      <c r="L17" s="153">
        <v>30</v>
      </c>
      <c r="M17" s="152">
        <f t="shared" ref="M17:M32" si="5">N17+O17</f>
        <v>4040</v>
      </c>
      <c r="N17" s="153">
        <f>4*17.5*12</f>
        <v>840</v>
      </c>
      <c r="O17" s="153">
        <v>3200</v>
      </c>
      <c r="Q17" s="154">
        <f>(D17+J17+M17)/12/C17*1000</f>
        <v>84791.7</v>
      </c>
    </row>
    <row r="18" spans="1:17" ht="35.25" customHeight="1" x14ac:dyDescent="0.25">
      <c r="A18" s="142"/>
      <c r="B18" s="143" t="s">
        <v>88</v>
      </c>
      <c r="C18" s="155">
        <v>4</v>
      </c>
      <c r="D18" s="145">
        <f t="shared" si="3"/>
        <v>0</v>
      </c>
      <c r="E18" s="156"/>
      <c r="F18" s="156"/>
      <c r="G18" s="156"/>
      <c r="H18" s="156"/>
      <c r="I18" s="156"/>
      <c r="J18" s="146">
        <f t="shared" si="4"/>
        <v>30</v>
      </c>
      <c r="K18" s="156"/>
      <c r="L18" s="157">
        <v>30</v>
      </c>
      <c r="M18" s="146">
        <f t="shared" si="5"/>
        <v>4040</v>
      </c>
      <c r="N18" s="157">
        <v>840</v>
      </c>
      <c r="O18" s="157">
        <v>3200</v>
      </c>
      <c r="Q18" s="154">
        <f>(D18+J18+M18)/12/C18*1000</f>
        <v>84791.7</v>
      </c>
    </row>
    <row r="19" spans="1:17" ht="24.75" customHeight="1" x14ac:dyDescent="0.25">
      <c r="A19" s="147" t="s">
        <v>72</v>
      </c>
      <c r="B19" s="148" t="s">
        <v>80</v>
      </c>
      <c r="C19" s="149">
        <v>16</v>
      </c>
      <c r="D19" s="150">
        <f t="shared" si="3"/>
        <v>0</v>
      </c>
      <c r="E19" s="151"/>
      <c r="F19" s="151"/>
      <c r="G19" s="151"/>
      <c r="H19" s="151"/>
      <c r="I19" s="151"/>
      <c r="J19" s="152">
        <f t="shared" si="4"/>
        <v>100</v>
      </c>
      <c r="K19" s="151"/>
      <c r="L19" s="158">
        <v>100</v>
      </c>
      <c r="M19" s="152">
        <f t="shared" si="5"/>
        <v>7064</v>
      </c>
      <c r="N19" s="153">
        <f>16*14.5*12</f>
        <v>2784</v>
      </c>
      <c r="O19" s="153">
        <v>4280</v>
      </c>
      <c r="Q19" s="154">
        <f>(D19+J19+M19)/12/C19*1000</f>
        <v>37312.5</v>
      </c>
    </row>
    <row r="20" spans="1:17" ht="31.5" x14ac:dyDescent="0.25">
      <c r="A20" s="142"/>
      <c r="B20" s="143" t="s">
        <v>88</v>
      </c>
      <c r="C20" s="155">
        <v>16</v>
      </c>
      <c r="D20" s="145">
        <f t="shared" si="3"/>
        <v>0</v>
      </c>
      <c r="E20" s="156"/>
      <c r="F20" s="156"/>
      <c r="G20" s="156"/>
      <c r="H20" s="156"/>
      <c r="I20" s="156"/>
      <c r="J20" s="146">
        <f t="shared" si="4"/>
        <v>100</v>
      </c>
      <c r="K20" s="156"/>
      <c r="L20" s="157">
        <v>100</v>
      </c>
      <c r="M20" s="146">
        <f t="shared" si="5"/>
        <v>7064</v>
      </c>
      <c r="N20" s="157">
        <v>2784</v>
      </c>
      <c r="O20" s="157">
        <v>4280</v>
      </c>
      <c r="Q20" s="154">
        <f>(D20+J20+M20)/12/C20*1000</f>
        <v>37312.5</v>
      </c>
    </row>
    <row r="21" spans="1:17" ht="24.75" customHeight="1" x14ac:dyDescent="0.25">
      <c r="A21" s="13" t="s">
        <v>73</v>
      </c>
      <c r="B21" s="52" t="s">
        <v>60</v>
      </c>
      <c r="C21" s="149"/>
      <c r="D21" s="150">
        <f t="shared" si="3"/>
        <v>0</v>
      </c>
      <c r="E21" s="151"/>
      <c r="F21" s="151"/>
      <c r="G21" s="151"/>
      <c r="H21" s="151"/>
      <c r="I21" s="151"/>
      <c r="J21" s="152">
        <f t="shared" si="4"/>
        <v>0</v>
      </c>
      <c r="K21" s="151"/>
      <c r="L21" s="151"/>
      <c r="M21" s="152">
        <f t="shared" si="5"/>
        <v>0</v>
      </c>
      <c r="N21" s="153"/>
      <c r="O21" s="153"/>
    </row>
    <row r="22" spans="1:17" ht="31.5" x14ac:dyDescent="0.25">
      <c r="A22" s="142"/>
      <c r="B22" s="143" t="s">
        <v>88</v>
      </c>
      <c r="C22" s="155"/>
      <c r="D22" s="145">
        <f t="shared" si="3"/>
        <v>0</v>
      </c>
      <c r="E22" s="156"/>
      <c r="F22" s="156"/>
      <c r="G22" s="156"/>
      <c r="H22" s="156"/>
      <c r="I22" s="156"/>
      <c r="J22" s="146">
        <f t="shared" si="4"/>
        <v>0</v>
      </c>
      <c r="K22" s="156"/>
      <c r="L22" s="156"/>
      <c r="M22" s="146">
        <f t="shared" si="5"/>
        <v>0</v>
      </c>
      <c r="N22" s="157"/>
      <c r="O22" s="157"/>
    </row>
    <row r="23" spans="1:17" ht="27" customHeight="1" x14ac:dyDescent="0.25">
      <c r="A23" s="13" t="s">
        <v>74</v>
      </c>
      <c r="B23" s="52" t="s">
        <v>94</v>
      </c>
      <c r="C23" s="149"/>
      <c r="D23" s="150">
        <f t="shared" si="3"/>
        <v>0</v>
      </c>
      <c r="E23" s="151"/>
      <c r="F23" s="151"/>
      <c r="G23" s="151"/>
      <c r="H23" s="151"/>
      <c r="I23" s="151"/>
      <c r="J23" s="152">
        <f t="shared" si="4"/>
        <v>0</v>
      </c>
      <c r="K23" s="151"/>
      <c r="L23" s="151"/>
      <c r="M23" s="152">
        <f t="shared" si="5"/>
        <v>0</v>
      </c>
      <c r="N23" s="153"/>
      <c r="O23" s="153"/>
    </row>
    <row r="24" spans="1:17" ht="31.5" x14ac:dyDescent="0.25">
      <c r="A24" s="142"/>
      <c r="B24" s="143" t="s">
        <v>88</v>
      </c>
      <c r="C24" s="155"/>
      <c r="D24" s="145">
        <f t="shared" si="3"/>
        <v>0</v>
      </c>
      <c r="E24" s="156"/>
      <c r="F24" s="156"/>
      <c r="G24" s="156"/>
      <c r="H24" s="156"/>
      <c r="I24" s="156"/>
      <c r="J24" s="146">
        <f t="shared" si="4"/>
        <v>0</v>
      </c>
      <c r="K24" s="156"/>
      <c r="L24" s="156"/>
      <c r="M24" s="146">
        <f t="shared" si="5"/>
        <v>0</v>
      </c>
      <c r="N24" s="157"/>
      <c r="O24" s="157"/>
    </row>
    <row r="25" spans="1:17" ht="27.75" customHeight="1" x14ac:dyDescent="0.25">
      <c r="A25" s="13" t="s">
        <v>75</v>
      </c>
      <c r="B25" s="52" t="s">
        <v>93</v>
      </c>
      <c r="C25" s="149"/>
      <c r="D25" s="150">
        <f t="shared" si="3"/>
        <v>0</v>
      </c>
      <c r="E25" s="151"/>
      <c r="F25" s="151"/>
      <c r="G25" s="151"/>
      <c r="H25" s="151"/>
      <c r="I25" s="151"/>
      <c r="J25" s="152">
        <f t="shared" si="4"/>
        <v>0</v>
      </c>
      <c r="K25" s="151"/>
      <c r="L25" s="151"/>
      <c r="M25" s="152">
        <f t="shared" si="5"/>
        <v>0</v>
      </c>
      <c r="N25" s="153"/>
      <c r="O25" s="153"/>
    </row>
    <row r="26" spans="1:17" ht="31.5" x14ac:dyDescent="0.25">
      <c r="A26" s="142"/>
      <c r="B26" s="143" t="s">
        <v>88</v>
      </c>
      <c r="C26" s="155"/>
      <c r="D26" s="145">
        <f t="shared" si="3"/>
        <v>0</v>
      </c>
      <c r="E26" s="156"/>
      <c r="F26" s="156"/>
      <c r="G26" s="156"/>
      <c r="H26" s="156"/>
      <c r="I26" s="156"/>
      <c r="J26" s="146">
        <f t="shared" si="4"/>
        <v>0</v>
      </c>
      <c r="K26" s="156"/>
      <c r="L26" s="156"/>
      <c r="M26" s="146">
        <f t="shared" si="5"/>
        <v>0</v>
      </c>
      <c r="N26" s="157"/>
      <c r="O26" s="157"/>
    </row>
    <row r="27" spans="1:17" ht="29.25" customHeight="1" x14ac:dyDescent="0.25">
      <c r="A27" s="147" t="s">
        <v>76</v>
      </c>
      <c r="B27" s="148" t="s">
        <v>81</v>
      </c>
      <c r="C27" s="159">
        <v>2.75</v>
      </c>
      <c r="D27" s="150">
        <f t="shared" si="3"/>
        <v>0</v>
      </c>
      <c r="E27" s="151"/>
      <c r="F27" s="151"/>
      <c r="G27" s="151"/>
      <c r="H27" s="151"/>
      <c r="I27" s="151"/>
      <c r="J27" s="152">
        <f t="shared" si="4"/>
        <v>0</v>
      </c>
      <c r="K27" s="151"/>
      <c r="L27" s="151"/>
      <c r="M27" s="152">
        <f t="shared" si="5"/>
        <v>1221</v>
      </c>
      <c r="N27" s="153">
        <v>352.6</v>
      </c>
      <c r="O27" s="153">
        <v>868.4</v>
      </c>
      <c r="Q27" s="154">
        <f>(D27+J27+M27)/12/C27*1000</f>
        <v>37000</v>
      </c>
    </row>
    <row r="28" spans="1:17" ht="31.5" x14ac:dyDescent="0.25">
      <c r="A28" s="142"/>
      <c r="B28" s="143" t="s">
        <v>88</v>
      </c>
      <c r="C28" s="155">
        <v>2.75</v>
      </c>
      <c r="D28" s="145">
        <f t="shared" si="3"/>
        <v>0</v>
      </c>
      <c r="E28" s="156"/>
      <c r="F28" s="156"/>
      <c r="G28" s="156"/>
      <c r="H28" s="156"/>
      <c r="I28" s="156"/>
      <c r="J28" s="146">
        <f t="shared" si="4"/>
        <v>0</v>
      </c>
      <c r="K28" s="156"/>
      <c r="L28" s="156"/>
      <c r="M28" s="146">
        <f t="shared" si="5"/>
        <v>1221</v>
      </c>
      <c r="N28" s="157">
        <v>352.6</v>
      </c>
      <c r="O28" s="157">
        <v>868.4</v>
      </c>
      <c r="Q28" s="154">
        <f>(D28+J28+M28)/12/C28*1000</f>
        <v>37000</v>
      </c>
    </row>
    <row r="29" spans="1:17" ht="30.75" customHeight="1" x14ac:dyDescent="0.25">
      <c r="A29" s="142" t="s">
        <v>77</v>
      </c>
      <c r="B29" s="143" t="s">
        <v>82</v>
      </c>
      <c r="C29" s="155"/>
      <c r="D29" s="145">
        <f t="shared" si="3"/>
        <v>0</v>
      </c>
      <c r="E29" s="156"/>
      <c r="F29" s="156"/>
      <c r="G29" s="156"/>
      <c r="H29" s="156"/>
      <c r="I29" s="156"/>
      <c r="J29" s="146">
        <f t="shared" si="4"/>
        <v>0</v>
      </c>
      <c r="K29" s="156"/>
      <c r="L29" s="156"/>
      <c r="M29" s="146">
        <f t="shared" si="5"/>
        <v>0</v>
      </c>
      <c r="N29" s="157"/>
      <c r="O29" s="157"/>
    </row>
    <row r="30" spans="1:17" ht="33.75" customHeight="1" x14ac:dyDescent="0.25">
      <c r="A30" s="142" t="s">
        <v>78</v>
      </c>
      <c r="B30" s="143" t="s">
        <v>83</v>
      </c>
      <c r="C30" s="155">
        <v>1</v>
      </c>
      <c r="D30" s="145">
        <f t="shared" si="3"/>
        <v>0</v>
      </c>
      <c r="E30" s="156"/>
      <c r="F30" s="156"/>
      <c r="G30" s="156"/>
      <c r="H30" s="156"/>
      <c r="I30" s="156"/>
      <c r="J30" s="146">
        <f t="shared" si="4"/>
        <v>0</v>
      </c>
      <c r="K30" s="156"/>
      <c r="L30" s="156"/>
      <c r="M30" s="146">
        <f t="shared" si="5"/>
        <v>720</v>
      </c>
      <c r="N30" s="157">
        <v>276.2</v>
      </c>
      <c r="O30" s="157">
        <v>443.8</v>
      </c>
      <c r="Q30" s="154">
        <f>(D30+J30+M30)/12/C30*1000</f>
        <v>60000</v>
      </c>
    </row>
    <row r="31" spans="1:17" ht="27" customHeight="1" x14ac:dyDescent="0.25">
      <c r="A31" s="13" t="s">
        <v>79</v>
      </c>
      <c r="B31" s="51" t="s">
        <v>84</v>
      </c>
      <c r="C31" s="159">
        <v>10</v>
      </c>
      <c r="D31" s="150">
        <f t="shared" si="3"/>
        <v>0</v>
      </c>
      <c r="E31" s="151"/>
      <c r="F31" s="151"/>
      <c r="G31" s="151"/>
      <c r="H31" s="151"/>
      <c r="I31" s="151"/>
      <c r="J31" s="152">
        <f t="shared" si="4"/>
        <v>0</v>
      </c>
      <c r="K31" s="151"/>
      <c r="L31" s="151"/>
      <c r="M31" s="152">
        <f t="shared" si="5"/>
        <v>2640</v>
      </c>
      <c r="N31" s="153">
        <f>7.5*10*12</f>
        <v>900</v>
      </c>
      <c r="O31" s="153">
        <v>1740</v>
      </c>
      <c r="Q31" s="154">
        <f>(D31+J31+M31)/12/C31*1000</f>
        <v>22000</v>
      </c>
    </row>
    <row r="32" spans="1:17" ht="31.5" x14ac:dyDescent="0.25">
      <c r="A32" s="142"/>
      <c r="B32" s="143" t="s">
        <v>88</v>
      </c>
      <c r="C32" s="155">
        <v>10</v>
      </c>
      <c r="D32" s="145">
        <f t="shared" si="3"/>
        <v>0</v>
      </c>
      <c r="E32" s="156"/>
      <c r="F32" s="156"/>
      <c r="G32" s="156"/>
      <c r="H32" s="156"/>
      <c r="I32" s="156"/>
      <c r="J32" s="146">
        <f t="shared" si="4"/>
        <v>0</v>
      </c>
      <c r="K32" s="156"/>
      <c r="L32" s="156"/>
      <c r="M32" s="146">
        <f t="shared" si="5"/>
        <v>2640</v>
      </c>
      <c r="N32" s="157">
        <v>900</v>
      </c>
      <c r="O32" s="157">
        <v>1740</v>
      </c>
      <c r="Q32" s="154">
        <f>(D32+J32+M32)/12/C32*1000</f>
        <v>22000</v>
      </c>
    </row>
    <row r="33" spans="1:15" ht="28.5" customHeight="1" x14ac:dyDescent="0.25">
      <c r="A33" s="13" t="s">
        <v>19</v>
      </c>
      <c r="B33" s="51" t="s">
        <v>92</v>
      </c>
      <c r="C33" s="150">
        <f>C13-C14</f>
        <v>0</v>
      </c>
      <c r="D33" s="150">
        <f t="shared" ref="D33:O33" si="6">D13-D14</f>
        <v>0</v>
      </c>
      <c r="E33" s="152">
        <f t="shared" si="6"/>
        <v>0</v>
      </c>
      <c r="F33" s="152">
        <f t="shared" si="6"/>
        <v>0</v>
      </c>
      <c r="G33" s="152">
        <f t="shared" si="6"/>
        <v>0</v>
      </c>
      <c r="H33" s="152">
        <f t="shared" si="6"/>
        <v>0</v>
      </c>
      <c r="I33" s="152">
        <f t="shared" si="6"/>
        <v>0</v>
      </c>
      <c r="J33" s="152">
        <f t="shared" si="6"/>
        <v>0</v>
      </c>
      <c r="K33" s="152">
        <f t="shared" si="6"/>
        <v>0</v>
      </c>
      <c r="L33" s="152">
        <f t="shared" si="6"/>
        <v>0</v>
      </c>
      <c r="M33" s="152">
        <f t="shared" si="6"/>
        <v>0</v>
      </c>
      <c r="N33" s="152">
        <f t="shared" si="6"/>
        <v>0</v>
      </c>
      <c r="O33" s="152">
        <f t="shared" si="6"/>
        <v>0</v>
      </c>
    </row>
    <row r="34" spans="1:15" ht="62.25" customHeight="1" x14ac:dyDescent="0.25">
      <c r="A34" s="13" t="s">
        <v>20</v>
      </c>
      <c r="B34" s="51" t="s">
        <v>91</v>
      </c>
      <c r="C34" s="160"/>
      <c r="D34" s="160"/>
      <c r="E34" s="153"/>
      <c r="F34" s="153"/>
      <c r="G34" s="153"/>
      <c r="H34" s="153"/>
      <c r="I34" s="153"/>
      <c r="J34" s="153"/>
      <c r="K34" s="153"/>
      <c r="L34" s="153"/>
      <c r="M34" s="153" t="s">
        <v>61</v>
      </c>
      <c r="N34" s="153" t="s">
        <v>61</v>
      </c>
      <c r="O34" s="153" t="s">
        <v>61</v>
      </c>
    </row>
    <row r="35" spans="1:15" ht="47.25" x14ac:dyDescent="0.25">
      <c r="A35" s="13" t="s">
        <v>21</v>
      </c>
      <c r="B35" s="51" t="s">
        <v>90</v>
      </c>
      <c r="C35" s="160"/>
      <c r="D35" s="160" t="s">
        <v>61</v>
      </c>
      <c r="E35" s="160" t="s">
        <v>61</v>
      </c>
      <c r="F35" s="160" t="s">
        <v>61</v>
      </c>
      <c r="G35" s="160" t="s">
        <v>61</v>
      </c>
      <c r="H35" s="160" t="s">
        <v>61</v>
      </c>
      <c r="I35" s="160" t="s">
        <v>61</v>
      </c>
      <c r="J35" s="160"/>
      <c r="K35" s="160"/>
      <c r="L35" s="160"/>
      <c r="M35" s="160"/>
      <c r="N35" s="160"/>
      <c r="O35" s="160"/>
    </row>
    <row r="36" spans="1:15" ht="2.25" customHeight="1" x14ac:dyDescent="0.25"/>
    <row r="37" spans="1:15" ht="33.75" customHeight="1" x14ac:dyDescent="0.25">
      <c r="A37" s="40" t="s">
        <v>62</v>
      </c>
      <c r="B37" s="574" t="s">
        <v>63</v>
      </c>
      <c r="C37" s="574"/>
      <c r="D37" s="574"/>
      <c r="E37" s="574"/>
      <c r="F37" s="574"/>
      <c r="G37" s="574"/>
      <c r="H37" s="574"/>
      <c r="I37" s="574"/>
      <c r="J37" s="574"/>
      <c r="K37" s="574"/>
      <c r="L37" s="574"/>
      <c r="M37" s="574"/>
      <c r="N37" s="574"/>
      <c r="O37" s="574"/>
    </row>
    <row r="38" spans="1:15" x14ac:dyDescent="0.25">
      <c r="A38" s="40" t="s">
        <v>64</v>
      </c>
      <c r="B38" s="40" t="s">
        <v>65</v>
      </c>
    </row>
    <row r="39" spans="1:15" ht="14.25" customHeight="1" x14ac:dyDescent="0.25">
      <c r="A39" s="40" t="s">
        <v>66</v>
      </c>
      <c r="B39" s="40" t="s">
        <v>67</v>
      </c>
    </row>
    <row r="40" spans="1:15" ht="3.75" hidden="1" customHeight="1" x14ac:dyDescent="0.25">
      <c r="A40" s="575"/>
      <c r="B40" s="575"/>
      <c r="C40" s="575"/>
      <c r="D40" s="575"/>
      <c r="E40" s="575"/>
      <c r="F40" s="575"/>
      <c r="G40" s="575"/>
      <c r="H40" s="575"/>
      <c r="I40" s="575"/>
      <c r="J40" s="575"/>
      <c r="K40" s="575"/>
    </row>
    <row r="41" spans="1:15" ht="19.5" customHeight="1" x14ac:dyDescent="0.25">
      <c r="A41" s="36" t="s">
        <v>29</v>
      </c>
      <c r="B41" s="14"/>
      <c r="C41" s="29"/>
      <c r="D41" s="35"/>
      <c r="E41" s="15"/>
      <c r="F41" s="15"/>
      <c r="G41" s="15"/>
      <c r="H41" s="15"/>
      <c r="I41" s="588" t="s">
        <v>280</v>
      </c>
      <c r="J41" s="588"/>
      <c r="K41" s="14"/>
      <c r="L41" s="14"/>
    </row>
    <row r="42" spans="1:15" x14ac:dyDescent="0.25">
      <c r="A42" s="37"/>
      <c r="B42" s="16" t="s">
        <v>30</v>
      </c>
      <c r="C42" s="518" t="s">
        <v>31</v>
      </c>
      <c r="D42" s="518"/>
      <c r="E42" s="16"/>
      <c r="F42" s="16"/>
      <c r="G42" s="16"/>
      <c r="H42" s="16"/>
      <c r="I42" s="522" t="s">
        <v>11</v>
      </c>
      <c r="J42" s="522"/>
      <c r="K42" s="16"/>
      <c r="L42" s="32"/>
    </row>
    <row r="43" spans="1:15" x14ac:dyDescent="0.25">
      <c r="A43" s="36" t="s">
        <v>96</v>
      </c>
      <c r="B43" s="14"/>
      <c r="C43" s="29"/>
      <c r="D43" s="35"/>
      <c r="E43" s="15"/>
      <c r="F43" s="15"/>
      <c r="G43" s="15"/>
      <c r="H43" s="15"/>
      <c r="I43" s="588" t="s">
        <v>331</v>
      </c>
      <c r="J43" s="588"/>
      <c r="K43" s="33"/>
      <c r="L43" s="33"/>
    </row>
    <row r="44" spans="1:15" ht="15.75" customHeight="1" x14ac:dyDescent="0.25">
      <c r="A44" s="31"/>
      <c r="B44" s="16"/>
      <c r="C44" s="521" t="s">
        <v>31</v>
      </c>
      <c r="D44" s="521"/>
      <c r="E44" s="16"/>
      <c r="F44" s="16"/>
      <c r="G44" s="16"/>
      <c r="H44" s="16"/>
      <c r="I44" s="522" t="s">
        <v>11</v>
      </c>
      <c r="J44" s="522"/>
      <c r="K44" s="32"/>
      <c r="L44" s="32"/>
    </row>
    <row r="45" spans="1:15" ht="6" hidden="1" customHeight="1" x14ac:dyDescent="0.25">
      <c r="A45" s="17"/>
      <c r="B45" s="14"/>
      <c r="C45" s="14"/>
      <c r="D45" s="14"/>
      <c r="E45" s="14"/>
      <c r="F45" s="14"/>
      <c r="G45" s="14"/>
      <c r="H45" s="14"/>
      <c r="I45" s="14"/>
      <c r="J45" s="14"/>
      <c r="K45" s="33"/>
      <c r="L45" s="33"/>
    </row>
    <row r="46" spans="1:15" ht="15" customHeight="1" x14ac:dyDescent="0.25">
      <c r="A46" s="17" t="s">
        <v>7</v>
      </c>
      <c r="B46" s="14"/>
      <c r="C46" s="14"/>
      <c r="D46" s="15"/>
      <c r="E46" s="15"/>
      <c r="F46" s="15"/>
      <c r="G46" s="15"/>
      <c r="H46" s="15"/>
      <c r="I46" s="14"/>
      <c r="J46" s="14"/>
      <c r="K46" s="18"/>
      <c r="L46" s="34"/>
    </row>
    <row r="47" spans="1:15" x14ac:dyDescent="0.25">
      <c r="A47" s="18" t="s">
        <v>32</v>
      </c>
      <c r="B47" s="18"/>
      <c r="C47" s="18"/>
      <c r="D47" s="588" t="s">
        <v>332</v>
      </c>
      <c r="E47" s="588"/>
      <c r="F47" s="588"/>
      <c r="G47" s="29"/>
      <c r="H47" s="29"/>
      <c r="I47" s="18"/>
      <c r="J47" s="588" t="s">
        <v>333</v>
      </c>
      <c r="K47" s="588"/>
      <c r="L47" s="588"/>
    </row>
    <row r="48" spans="1:15" ht="18.75" x14ac:dyDescent="0.3">
      <c r="A48" s="18"/>
      <c r="B48" s="14"/>
      <c r="C48" s="14"/>
      <c r="D48" s="522" t="s">
        <v>33</v>
      </c>
      <c r="E48" s="522"/>
      <c r="F48" s="522"/>
      <c r="G48" s="522"/>
      <c r="H48" s="522"/>
      <c r="I48" s="16"/>
      <c r="J48" s="522" t="s">
        <v>34</v>
      </c>
      <c r="K48" s="522"/>
      <c r="L48" s="522"/>
      <c r="O48" s="53" t="s">
        <v>231</v>
      </c>
    </row>
  </sheetData>
  <mergeCells count="26">
    <mergeCell ref="A4:E4"/>
    <mergeCell ref="A7:K7"/>
    <mergeCell ref="A8:A10"/>
    <mergeCell ref="B8:B10"/>
    <mergeCell ref="C8:C10"/>
    <mergeCell ref="D8:I8"/>
    <mergeCell ref="J8:L8"/>
    <mergeCell ref="M8:O8"/>
    <mergeCell ref="D9:D10"/>
    <mergeCell ref="E9:I9"/>
    <mergeCell ref="J9:J10"/>
    <mergeCell ref="K9:L9"/>
    <mergeCell ref="M9:M10"/>
    <mergeCell ref="N9:O9"/>
    <mergeCell ref="B37:O37"/>
    <mergeCell ref="A40:K40"/>
    <mergeCell ref="I41:J41"/>
    <mergeCell ref="C42:D42"/>
    <mergeCell ref="I42:J42"/>
    <mergeCell ref="D48:H48"/>
    <mergeCell ref="J48:L48"/>
    <mergeCell ref="I43:J43"/>
    <mergeCell ref="C44:D44"/>
    <mergeCell ref="I44:J44"/>
    <mergeCell ref="D47:F47"/>
    <mergeCell ref="J47:L47"/>
  </mergeCells>
  <printOptions horizontalCentered="1"/>
  <pageMargins left="0.11811023622047245" right="0.11811023622047245" top="0.31496062992125984" bottom="7.874015748031496E-2" header="0" footer="0"/>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S48"/>
  <sheetViews>
    <sheetView topLeftCell="C24" workbookViewId="0">
      <selection activeCell="D1" sqref="A1:O48"/>
    </sheetView>
  </sheetViews>
  <sheetFormatPr defaultRowHeight="15.75" x14ac:dyDescent="0.25"/>
  <cols>
    <col min="1" max="1" width="8.42578125" style="40" customWidth="1"/>
    <col min="2" max="2" width="60.28515625" style="40" customWidth="1"/>
    <col min="3" max="3" width="13.85546875" style="1" customWidth="1"/>
    <col min="4" max="4" width="13.5703125" style="1" customWidth="1"/>
    <col min="5" max="6" width="11.7109375" style="1" customWidth="1"/>
    <col min="7" max="7" width="27" style="1" customWidth="1"/>
    <col min="8" max="8" width="14" style="1" customWidth="1"/>
    <col min="9" max="9" width="13.7109375" style="1" customWidth="1"/>
    <col min="10" max="10" width="14" style="1" customWidth="1"/>
    <col min="11" max="11" width="12.42578125" style="1" customWidth="1"/>
    <col min="12" max="12" width="19.42578125" style="1" customWidth="1"/>
    <col min="13" max="13" width="12.85546875" style="1" customWidth="1"/>
    <col min="14" max="14" width="11.7109375" style="1" customWidth="1"/>
    <col min="15" max="15" width="20" style="1" customWidth="1"/>
    <col min="16" max="16" width="9.140625" style="1"/>
    <col min="17" max="17" width="13" style="1" customWidth="1"/>
    <col min="18" max="16384" width="9.140625" style="1"/>
  </cols>
  <sheetData>
    <row r="1" spans="1:19" x14ac:dyDescent="0.25">
      <c r="N1" s="589" t="s">
        <v>335</v>
      </c>
      <c r="O1" s="589"/>
    </row>
    <row r="2" spans="1:19" ht="1.5" customHeight="1" x14ac:dyDescent="0.25"/>
    <row r="3" spans="1:19" ht="1.5" customHeight="1" x14ac:dyDescent="0.25"/>
    <row r="4" spans="1:19" ht="23.25" customHeight="1" x14ac:dyDescent="0.25">
      <c r="A4" s="584" t="s">
        <v>327</v>
      </c>
      <c r="B4" s="584"/>
      <c r="C4" s="584"/>
      <c r="D4" s="584"/>
      <c r="E4" s="584"/>
    </row>
    <row r="5" spans="1:19" x14ac:dyDescent="0.25">
      <c r="A5" s="42"/>
      <c r="D5" s="1" t="s">
        <v>45</v>
      </c>
    </row>
    <row r="6" spans="1:19" ht="9.75" customHeight="1" x14ac:dyDescent="0.25">
      <c r="A6" s="43"/>
      <c r="B6" s="43"/>
      <c r="C6" s="44"/>
      <c r="D6" s="44"/>
      <c r="E6" s="44"/>
      <c r="F6" s="44"/>
      <c r="G6" s="44"/>
      <c r="H6" s="44"/>
      <c r="I6" s="44"/>
      <c r="J6" s="44"/>
      <c r="K6" s="44"/>
      <c r="L6" s="44"/>
    </row>
    <row r="7" spans="1:19" ht="18.75" customHeight="1" x14ac:dyDescent="0.25">
      <c r="A7" s="585" t="s">
        <v>334</v>
      </c>
      <c r="B7" s="585"/>
      <c r="C7" s="585"/>
      <c r="D7" s="585"/>
      <c r="E7" s="585"/>
      <c r="F7" s="585"/>
      <c r="G7" s="585"/>
      <c r="H7" s="585"/>
      <c r="I7" s="585"/>
      <c r="J7" s="585"/>
      <c r="K7" s="585"/>
      <c r="L7" s="45"/>
      <c r="M7" s="46"/>
      <c r="N7" s="46"/>
      <c r="O7" s="46"/>
      <c r="P7" s="46"/>
      <c r="Q7" s="46"/>
      <c r="R7" s="46"/>
      <c r="S7" s="46"/>
    </row>
    <row r="8" spans="1:19" s="47" customFormat="1" ht="33" customHeight="1" x14ac:dyDescent="0.2">
      <c r="A8" s="586"/>
      <c r="B8" s="579" t="s">
        <v>46</v>
      </c>
      <c r="C8" s="579" t="s">
        <v>47</v>
      </c>
      <c r="D8" s="581" t="s">
        <v>48</v>
      </c>
      <c r="E8" s="582"/>
      <c r="F8" s="582"/>
      <c r="G8" s="582"/>
      <c r="H8" s="582"/>
      <c r="I8" s="583"/>
      <c r="J8" s="576" t="s">
        <v>49</v>
      </c>
      <c r="K8" s="577"/>
      <c r="L8" s="578"/>
      <c r="M8" s="576" t="s">
        <v>50</v>
      </c>
      <c r="N8" s="577"/>
      <c r="O8" s="578"/>
    </row>
    <row r="9" spans="1:19" s="47" customFormat="1" ht="21" customHeight="1" x14ac:dyDescent="0.2">
      <c r="A9" s="586"/>
      <c r="B9" s="587"/>
      <c r="C9" s="587"/>
      <c r="D9" s="579" t="s">
        <v>51</v>
      </c>
      <c r="E9" s="581" t="s">
        <v>24</v>
      </c>
      <c r="F9" s="582"/>
      <c r="G9" s="582"/>
      <c r="H9" s="582"/>
      <c r="I9" s="583"/>
      <c r="J9" s="579" t="s">
        <v>51</v>
      </c>
      <c r="K9" s="581" t="s">
        <v>24</v>
      </c>
      <c r="L9" s="583"/>
      <c r="M9" s="579" t="s">
        <v>51</v>
      </c>
      <c r="N9" s="581" t="s">
        <v>24</v>
      </c>
      <c r="O9" s="583"/>
    </row>
    <row r="10" spans="1:19" s="47" customFormat="1" ht="66.75" customHeight="1" x14ac:dyDescent="0.2">
      <c r="A10" s="586"/>
      <c r="B10" s="580"/>
      <c r="C10" s="580"/>
      <c r="D10" s="580"/>
      <c r="E10" s="48" t="s">
        <v>52</v>
      </c>
      <c r="F10" s="48" t="s">
        <v>53</v>
      </c>
      <c r="G10" s="48" t="s">
        <v>54</v>
      </c>
      <c r="H10" s="48" t="s">
        <v>55</v>
      </c>
      <c r="I10" s="48" t="s">
        <v>56</v>
      </c>
      <c r="J10" s="580"/>
      <c r="K10" s="48" t="s">
        <v>52</v>
      </c>
      <c r="L10" s="48" t="s">
        <v>57</v>
      </c>
      <c r="M10" s="580"/>
      <c r="N10" s="48" t="s">
        <v>52</v>
      </c>
      <c r="O10" s="48" t="s">
        <v>57</v>
      </c>
    </row>
    <row r="11" spans="1:19" s="50" customFormat="1" ht="16.5" customHeight="1" x14ac:dyDescent="0.25">
      <c r="A11" s="19"/>
      <c r="B11" s="19" t="s">
        <v>58</v>
      </c>
      <c r="C11" s="49">
        <v>1</v>
      </c>
      <c r="D11" s="49">
        <v>2</v>
      </c>
      <c r="E11" s="49">
        <v>3</v>
      </c>
      <c r="F11" s="49">
        <v>4</v>
      </c>
      <c r="G11" s="49">
        <v>5</v>
      </c>
      <c r="H11" s="49">
        <v>6</v>
      </c>
      <c r="I11" s="49">
        <v>7</v>
      </c>
      <c r="J11" s="49">
        <v>8</v>
      </c>
      <c r="K11" s="49">
        <v>9</v>
      </c>
      <c r="L11" s="49">
        <v>10</v>
      </c>
      <c r="M11" s="49">
        <v>11</v>
      </c>
      <c r="N11" s="49">
        <v>12</v>
      </c>
      <c r="O11" s="49">
        <v>13</v>
      </c>
    </row>
    <row r="12" spans="1:19" x14ac:dyDescent="0.25">
      <c r="A12" s="13" t="s">
        <v>17</v>
      </c>
      <c r="B12" s="51" t="s">
        <v>85</v>
      </c>
      <c r="C12" s="163">
        <v>2.75</v>
      </c>
      <c r="D12" s="12" t="s">
        <v>61</v>
      </c>
      <c r="E12" s="12" t="s">
        <v>61</v>
      </c>
      <c r="F12" s="12" t="s">
        <v>61</v>
      </c>
      <c r="G12" s="12" t="s">
        <v>61</v>
      </c>
      <c r="H12" s="12" t="s">
        <v>61</v>
      </c>
      <c r="I12" s="12" t="s">
        <v>61</v>
      </c>
      <c r="J12" s="12" t="s">
        <v>61</v>
      </c>
      <c r="K12" s="12" t="s">
        <v>61</v>
      </c>
      <c r="L12" s="12" t="s">
        <v>61</v>
      </c>
      <c r="M12" s="12" t="s">
        <v>61</v>
      </c>
      <c r="N12" s="12" t="s">
        <v>61</v>
      </c>
      <c r="O12" s="12" t="s">
        <v>61</v>
      </c>
    </row>
    <row r="13" spans="1:19" ht="47.25" x14ac:dyDescent="0.25">
      <c r="A13" s="19" t="s">
        <v>18</v>
      </c>
      <c r="B13" s="131" t="s">
        <v>329</v>
      </c>
      <c r="C13" s="132">
        <f t="shared" ref="C13:O13" si="0">C15+C29+C30+C31</f>
        <v>2.75</v>
      </c>
      <c r="D13" s="134">
        <f t="shared" si="0"/>
        <v>0</v>
      </c>
      <c r="E13" s="134">
        <f t="shared" si="0"/>
        <v>0</v>
      </c>
      <c r="F13" s="134">
        <f t="shared" si="0"/>
        <v>0</v>
      </c>
      <c r="G13" s="134">
        <f t="shared" si="0"/>
        <v>0</v>
      </c>
      <c r="H13" s="134">
        <f t="shared" si="0"/>
        <v>0</v>
      </c>
      <c r="I13" s="134">
        <f t="shared" si="0"/>
        <v>0</v>
      </c>
      <c r="J13" s="134">
        <f t="shared" si="0"/>
        <v>100</v>
      </c>
      <c r="K13" s="134">
        <f t="shared" si="0"/>
        <v>0</v>
      </c>
      <c r="L13" s="134">
        <f t="shared" si="0"/>
        <v>100</v>
      </c>
      <c r="M13" s="134">
        <f t="shared" si="0"/>
        <v>750</v>
      </c>
      <c r="N13" s="134">
        <f t="shared" si="0"/>
        <v>384.7</v>
      </c>
      <c r="O13" s="134">
        <f t="shared" si="0"/>
        <v>365.3</v>
      </c>
    </row>
    <row r="14" spans="1:19" ht="31.5" x14ac:dyDescent="0.25">
      <c r="A14" s="135" t="s">
        <v>16</v>
      </c>
      <c r="B14" s="136" t="s">
        <v>89</v>
      </c>
      <c r="C14" s="137">
        <f t="shared" ref="C14:O14" si="1">C16+C29+C30+C32</f>
        <v>2.75</v>
      </c>
      <c r="D14" s="139">
        <f t="shared" si="1"/>
        <v>0</v>
      </c>
      <c r="E14" s="139">
        <f t="shared" si="1"/>
        <v>0</v>
      </c>
      <c r="F14" s="139">
        <f t="shared" si="1"/>
        <v>0</v>
      </c>
      <c r="G14" s="139">
        <f t="shared" si="1"/>
        <v>0</v>
      </c>
      <c r="H14" s="139">
        <f t="shared" si="1"/>
        <v>0</v>
      </c>
      <c r="I14" s="139">
        <f t="shared" si="1"/>
        <v>0</v>
      </c>
      <c r="J14" s="139">
        <f t="shared" si="1"/>
        <v>100</v>
      </c>
      <c r="K14" s="139">
        <f t="shared" si="1"/>
        <v>0</v>
      </c>
      <c r="L14" s="139">
        <f t="shared" si="1"/>
        <v>100</v>
      </c>
      <c r="M14" s="139">
        <f t="shared" si="1"/>
        <v>750</v>
      </c>
      <c r="N14" s="139">
        <f t="shared" si="1"/>
        <v>384.7</v>
      </c>
      <c r="O14" s="139">
        <f t="shared" si="1"/>
        <v>365.3</v>
      </c>
    </row>
    <row r="15" spans="1:19" ht="31.5" x14ac:dyDescent="0.25">
      <c r="A15" s="140" t="s">
        <v>70</v>
      </c>
      <c r="B15" s="141" t="s">
        <v>87</v>
      </c>
      <c r="C15" s="132">
        <f t="shared" ref="C15:O15" si="2">C17+C19+C21+C23+C25+C27</f>
        <v>2.75</v>
      </c>
      <c r="D15" s="134">
        <f t="shared" si="2"/>
        <v>0</v>
      </c>
      <c r="E15" s="134">
        <f t="shared" si="2"/>
        <v>0</v>
      </c>
      <c r="F15" s="134">
        <f t="shared" si="2"/>
        <v>0</v>
      </c>
      <c r="G15" s="134">
        <f t="shared" si="2"/>
        <v>0</v>
      </c>
      <c r="H15" s="134">
        <f t="shared" si="2"/>
        <v>0</v>
      </c>
      <c r="I15" s="134">
        <f t="shared" si="2"/>
        <v>0</v>
      </c>
      <c r="J15" s="134">
        <f t="shared" si="2"/>
        <v>100</v>
      </c>
      <c r="K15" s="134">
        <f t="shared" si="2"/>
        <v>0</v>
      </c>
      <c r="L15" s="134">
        <f t="shared" si="2"/>
        <v>100</v>
      </c>
      <c r="M15" s="134">
        <f t="shared" si="2"/>
        <v>750</v>
      </c>
      <c r="N15" s="134">
        <f t="shared" si="2"/>
        <v>384.7</v>
      </c>
      <c r="O15" s="134">
        <f t="shared" si="2"/>
        <v>365.3</v>
      </c>
    </row>
    <row r="16" spans="1:19" ht="31.5" x14ac:dyDescent="0.25">
      <c r="A16" s="142"/>
      <c r="B16" s="143" t="s">
        <v>88</v>
      </c>
      <c r="C16" s="144">
        <f t="shared" ref="C16:O16" si="3">C18+C20+C22+C24+C26+C28</f>
        <v>2.75</v>
      </c>
      <c r="D16" s="146">
        <f t="shared" si="3"/>
        <v>0</v>
      </c>
      <c r="E16" s="146">
        <f t="shared" si="3"/>
        <v>0</v>
      </c>
      <c r="F16" s="146">
        <f t="shared" si="3"/>
        <v>0</v>
      </c>
      <c r="G16" s="146">
        <f t="shared" si="3"/>
        <v>0</v>
      </c>
      <c r="H16" s="146">
        <f t="shared" si="3"/>
        <v>0</v>
      </c>
      <c r="I16" s="146">
        <f t="shared" si="3"/>
        <v>0</v>
      </c>
      <c r="J16" s="146">
        <f t="shared" si="3"/>
        <v>100</v>
      </c>
      <c r="K16" s="146">
        <f t="shared" si="3"/>
        <v>0</v>
      </c>
      <c r="L16" s="146">
        <f t="shared" si="3"/>
        <v>100</v>
      </c>
      <c r="M16" s="146">
        <f t="shared" si="3"/>
        <v>750</v>
      </c>
      <c r="N16" s="146">
        <f t="shared" si="3"/>
        <v>384.7</v>
      </c>
      <c r="O16" s="146">
        <f t="shared" si="3"/>
        <v>365.3</v>
      </c>
    </row>
    <row r="17" spans="1:17" ht="31.5" x14ac:dyDescent="0.25">
      <c r="A17" s="13" t="s">
        <v>71</v>
      </c>
      <c r="B17" s="52" t="s">
        <v>59</v>
      </c>
      <c r="C17" s="149">
        <v>1</v>
      </c>
      <c r="D17" s="152">
        <f t="shared" ref="D17:D32" si="4">SUM(E17:I17)</f>
        <v>0</v>
      </c>
      <c r="E17" s="151"/>
      <c r="F17" s="151"/>
      <c r="G17" s="151"/>
      <c r="H17" s="153"/>
      <c r="I17" s="153"/>
      <c r="J17" s="152">
        <f t="shared" ref="J17:J32" si="5">K17+L17</f>
        <v>100</v>
      </c>
      <c r="K17" s="153"/>
      <c r="L17" s="153">
        <v>100</v>
      </c>
      <c r="M17" s="152">
        <f t="shared" ref="M17:M32" si="6">N17+O17</f>
        <v>380</v>
      </c>
      <c r="N17" s="153">
        <f>17.9*12</f>
        <v>214.8</v>
      </c>
      <c r="O17" s="153">
        <v>165.2</v>
      </c>
      <c r="Q17" s="154">
        <f>(D17+J17+M17)/12/C17*1000</f>
        <v>40000</v>
      </c>
    </row>
    <row r="18" spans="1:17" ht="31.5" x14ac:dyDescent="0.25">
      <c r="A18" s="142"/>
      <c r="B18" s="143" t="s">
        <v>88</v>
      </c>
      <c r="C18" s="155">
        <v>1</v>
      </c>
      <c r="D18" s="146">
        <f t="shared" si="4"/>
        <v>0</v>
      </c>
      <c r="E18" s="156"/>
      <c r="F18" s="156"/>
      <c r="G18" s="156"/>
      <c r="H18" s="157"/>
      <c r="I18" s="157"/>
      <c r="J18" s="146">
        <f t="shared" si="5"/>
        <v>100</v>
      </c>
      <c r="K18" s="157"/>
      <c r="L18" s="157">
        <v>100</v>
      </c>
      <c r="M18" s="146">
        <f t="shared" si="6"/>
        <v>380</v>
      </c>
      <c r="N18" s="157">
        <v>214.8</v>
      </c>
      <c r="O18" s="157">
        <v>165.2</v>
      </c>
      <c r="Q18" s="154">
        <f>(D18+J18+M18)/12/C18*1000</f>
        <v>40000</v>
      </c>
    </row>
    <row r="19" spans="1:17" x14ac:dyDescent="0.25">
      <c r="A19" s="13" t="s">
        <v>72</v>
      </c>
      <c r="B19" s="52" t="s">
        <v>80</v>
      </c>
      <c r="C19" s="149">
        <v>1.75</v>
      </c>
      <c r="D19" s="152">
        <f t="shared" si="4"/>
        <v>0</v>
      </c>
      <c r="E19" s="151"/>
      <c r="F19" s="151"/>
      <c r="G19" s="151"/>
      <c r="H19" s="153"/>
      <c r="I19" s="153"/>
      <c r="J19" s="152">
        <f t="shared" si="5"/>
        <v>0</v>
      </c>
      <c r="K19" s="153"/>
      <c r="L19" s="153"/>
      <c r="M19" s="152">
        <f t="shared" si="6"/>
        <v>370</v>
      </c>
      <c r="N19" s="153">
        <f>14.161*12</f>
        <v>169.9</v>
      </c>
      <c r="O19" s="153">
        <v>200.1</v>
      </c>
      <c r="Q19" s="154">
        <f>(D19+J19+M19)/12/C19*1000</f>
        <v>17619</v>
      </c>
    </row>
    <row r="20" spans="1:17" ht="31.5" x14ac:dyDescent="0.25">
      <c r="A20" s="142"/>
      <c r="B20" s="143" t="s">
        <v>88</v>
      </c>
      <c r="C20" s="155">
        <v>1.75</v>
      </c>
      <c r="D20" s="146">
        <f t="shared" si="4"/>
        <v>0</v>
      </c>
      <c r="E20" s="156"/>
      <c r="F20" s="156"/>
      <c r="G20" s="156"/>
      <c r="H20" s="157"/>
      <c r="I20" s="157"/>
      <c r="J20" s="146">
        <f t="shared" si="5"/>
        <v>0</v>
      </c>
      <c r="K20" s="157"/>
      <c r="L20" s="157"/>
      <c r="M20" s="146">
        <f t="shared" si="6"/>
        <v>370</v>
      </c>
      <c r="N20" s="157">
        <v>169.9</v>
      </c>
      <c r="O20" s="157">
        <v>200.1</v>
      </c>
      <c r="Q20" s="154">
        <f>(D20+J20+M20)/12/C20*1000</f>
        <v>17619</v>
      </c>
    </row>
    <row r="21" spans="1:17" x14ac:dyDescent="0.25">
      <c r="A21" s="13" t="s">
        <v>73</v>
      </c>
      <c r="B21" s="52" t="s">
        <v>60</v>
      </c>
      <c r="C21" s="149"/>
      <c r="D21" s="152">
        <f t="shared" si="4"/>
        <v>0</v>
      </c>
      <c r="E21" s="151"/>
      <c r="F21" s="151"/>
      <c r="G21" s="151"/>
      <c r="H21" s="153"/>
      <c r="I21" s="153"/>
      <c r="J21" s="152">
        <f t="shared" si="5"/>
        <v>0</v>
      </c>
      <c r="K21" s="153"/>
      <c r="L21" s="153"/>
      <c r="M21" s="152">
        <f t="shared" si="6"/>
        <v>0</v>
      </c>
      <c r="N21" s="153"/>
      <c r="O21" s="153"/>
    </row>
    <row r="22" spans="1:17" ht="31.5" x14ac:dyDescent="0.25">
      <c r="A22" s="142"/>
      <c r="B22" s="143" t="s">
        <v>88</v>
      </c>
      <c r="C22" s="155"/>
      <c r="D22" s="146">
        <f t="shared" si="4"/>
        <v>0</v>
      </c>
      <c r="E22" s="156"/>
      <c r="F22" s="156"/>
      <c r="G22" s="156"/>
      <c r="H22" s="157"/>
      <c r="I22" s="157"/>
      <c r="J22" s="146">
        <f t="shared" si="5"/>
        <v>0</v>
      </c>
      <c r="K22" s="157"/>
      <c r="L22" s="157"/>
      <c r="M22" s="146">
        <f t="shared" si="6"/>
        <v>0</v>
      </c>
      <c r="N22" s="157"/>
      <c r="O22" s="157"/>
    </row>
    <row r="23" spans="1:17" x14ac:dyDescent="0.25">
      <c r="A23" s="13" t="s">
        <v>74</v>
      </c>
      <c r="B23" s="52" t="s">
        <v>94</v>
      </c>
      <c r="C23" s="149"/>
      <c r="D23" s="152">
        <f t="shared" si="4"/>
        <v>0</v>
      </c>
      <c r="E23" s="151"/>
      <c r="F23" s="151"/>
      <c r="G23" s="151"/>
      <c r="H23" s="153"/>
      <c r="I23" s="153"/>
      <c r="J23" s="152">
        <f t="shared" si="5"/>
        <v>0</v>
      </c>
      <c r="K23" s="153"/>
      <c r="L23" s="153"/>
      <c r="M23" s="152">
        <f t="shared" si="6"/>
        <v>0</v>
      </c>
      <c r="N23" s="153"/>
      <c r="O23" s="153"/>
    </row>
    <row r="24" spans="1:17" ht="31.5" x14ac:dyDescent="0.25">
      <c r="A24" s="142"/>
      <c r="B24" s="143" t="s">
        <v>88</v>
      </c>
      <c r="C24" s="155"/>
      <c r="D24" s="146">
        <f t="shared" si="4"/>
        <v>0</v>
      </c>
      <c r="E24" s="156"/>
      <c r="F24" s="156"/>
      <c r="G24" s="156"/>
      <c r="H24" s="157"/>
      <c r="I24" s="157"/>
      <c r="J24" s="146">
        <f t="shared" si="5"/>
        <v>0</v>
      </c>
      <c r="K24" s="157"/>
      <c r="L24" s="157"/>
      <c r="M24" s="146">
        <f t="shared" si="6"/>
        <v>0</v>
      </c>
      <c r="N24" s="157"/>
      <c r="O24" s="157"/>
    </row>
    <row r="25" spans="1:17" x14ac:dyDescent="0.25">
      <c r="A25" s="13" t="s">
        <v>75</v>
      </c>
      <c r="B25" s="52" t="s">
        <v>93</v>
      </c>
      <c r="C25" s="149"/>
      <c r="D25" s="152">
        <f t="shared" si="4"/>
        <v>0</v>
      </c>
      <c r="E25" s="151"/>
      <c r="F25" s="151"/>
      <c r="G25" s="151"/>
      <c r="H25" s="153"/>
      <c r="I25" s="153"/>
      <c r="J25" s="152">
        <f t="shared" si="5"/>
        <v>0</v>
      </c>
      <c r="K25" s="153"/>
      <c r="L25" s="153"/>
      <c r="M25" s="152">
        <f t="shared" si="6"/>
        <v>0</v>
      </c>
      <c r="N25" s="153"/>
      <c r="O25" s="153"/>
    </row>
    <row r="26" spans="1:17" ht="31.5" x14ac:dyDescent="0.25">
      <c r="A26" s="142"/>
      <c r="B26" s="143" t="s">
        <v>88</v>
      </c>
      <c r="C26" s="155"/>
      <c r="D26" s="146">
        <f t="shared" si="4"/>
        <v>0</v>
      </c>
      <c r="E26" s="156"/>
      <c r="F26" s="156"/>
      <c r="G26" s="156"/>
      <c r="H26" s="157"/>
      <c r="I26" s="157"/>
      <c r="J26" s="146">
        <f t="shared" si="5"/>
        <v>0</v>
      </c>
      <c r="K26" s="157"/>
      <c r="L26" s="157"/>
      <c r="M26" s="146">
        <f t="shared" si="6"/>
        <v>0</v>
      </c>
      <c r="N26" s="157"/>
      <c r="O26" s="157"/>
    </row>
    <row r="27" spans="1:17" x14ac:dyDescent="0.25">
      <c r="A27" s="13" t="s">
        <v>76</v>
      </c>
      <c r="B27" s="52" t="s">
        <v>81</v>
      </c>
      <c r="C27" s="162"/>
      <c r="D27" s="152">
        <f t="shared" si="4"/>
        <v>0</v>
      </c>
      <c r="E27" s="151"/>
      <c r="F27" s="151"/>
      <c r="G27" s="151"/>
      <c r="H27" s="153"/>
      <c r="I27" s="153"/>
      <c r="J27" s="152">
        <f t="shared" si="5"/>
        <v>0</v>
      </c>
      <c r="K27" s="153"/>
      <c r="L27" s="153"/>
      <c r="M27" s="152">
        <f t="shared" si="6"/>
        <v>0</v>
      </c>
      <c r="N27" s="153"/>
      <c r="O27" s="153"/>
    </row>
    <row r="28" spans="1:17" ht="31.5" x14ac:dyDescent="0.25">
      <c r="A28" s="142"/>
      <c r="B28" s="143" t="s">
        <v>88</v>
      </c>
      <c r="C28" s="161"/>
      <c r="D28" s="146">
        <f t="shared" si="4"/>
        <v>0</v>
      </c>
      <c r="E28" s="156"/>
      <c r="F28" s="156"/>
      <c r="G28" s="156"/>
      <c r="H28" s="157"/>
      <c r="I28" s="157"/>
      <c r="J28" s="146">
        <f t="shared" si="5"/>
        <v>0</v>
      </c>
      <c r="K28" s="157"/>
      <c r="L28" s="157"/>
      <c r="M28" s="146">
        <f t="shared" si="6"/>
        <v>0</v>
      </c>
      <c r="N28" s="157"/>
      <c r="O28" s="157"/>
    </row>
    <row r="29" spans="1:17" x14ac:dyDescent="0.25">
      <c r="A29" s="142" t="s">
        <v>77</v>
      </c>
      <c r="B29" s="143" t="s">
        <v>82</v>
      </c>
      <c r="C29" s="161"/>
      <c r="D29" s="146">
        <f t="shared" si="4"/>
        <v>0</v>
      </c>
      <c r="E29" s="156"/>
      <c r="F29" s="156"/>
      <c r="G29" s="156"/>
      <c r="H29" s="157"/>
      <c r="I29" s="157"/>
      <c r="J29" s="146">
        <f t="shared" si="5"/>
        <v>0</v>
      </c>
      <c r="K29" s="157"/>
      <c r="L29" s="157"/>
      <c r="M29" s="146">
        <f t="shared" si="6"/>
        <v>0</v>
      </c>
      <c r="N29" s="157"/>
      <c r="O29" s="157"/>
    </row>
    <row r="30" spans="1:17" ht="31.5" x14ac:dyDescent="0.25">
      <c r="A30" s="142" t="s">
        <v>78</v>
      </c>
      <c r="B30" s="143" t="s">
        <v>83</v>
      </c>
      <c r="C30" s="161"/>
      <c r="D30" s="146">
        <f t="shared" si="4"/>
        <v>0</v>
      </c>
      <c r="E30" s="156"/>
      <c r="F30" s="156"/>
      <c r="G30" s="156"/>
      <c r="H30" s="157"/>
      <c r="I30" s="157"/>
      <c r="J30" s="146">
        <f t="shared" si="5"/>
        <v>0</v>
      </c>
      <c r="K30" s="157"/>
      <c r="L30" s="157"/>
      <c r="M30" s="146">
        <f t="shared" si="6"/>
        <v>0</v>
      </c>
      <c r="N30" s="157"/>
      <c r="O30" s="157"/>
    </row>
    <row r="31" spans="1:17" x14ac:dyDescent="0.25">
      <c r="A31" s="13" t="s">
        <v>79</v>
      </c>
      <c r="B31" s="51" t="s">
        <v>84</v>
      </c>
      <c r="C31" s="162"/>
      <c r="D31" s="152">
        <f t="shared" si="4"/>
        <v>0</v>
      </c>
      <c r="E31" s="151"/>
      <c r="F31" s="151"/>
      <c r="G31" s="151"/>
      <c r="H31" s="153"/>
      <c r="I31" s="153"/>
      <c r="J31" s="152">
        <f t="shared" si="5"/>
        <v>0</v>
      </c>
      <c r="K31" s="153"/>
      <c r="L31" s="153"/>
      <c r="M31" s="152">
        <f t="shared" si="6"/>
        <v>0</v>
      </c>
      <c r="N31" s="153"/>
      <c r="O31" s="153"/>
    </row>
    <row r="32" spans="1:17" ht="31.5" x14ac:dyDescent="0.25">
      <c r="A32" s="142"/>
      <c r="B32" s="143" t="s">
        <v>88</v>
      </c>
      <c r="C32" s="161"/>
      <c r="D32" s="146">
        <f t="shared" si="4"/>
        <v>0</v>
      </c>
      <c r="E32" s="156"/>
      <c r="F32" s="156"/>
      <c r="G32" s="156"/>
      <c r="H32" s="157"/>
      <c r="I32" s="157"/>
      <c r="J32" s="146">
        <f t="shared" si="5"/>
        <v>0</v>
      </c>
      <c r="K32" s="157"/>
      <c r="L32" s="157"/>
      <c r="M32" s="146">
        <f t="shared" si="6"/>
        <v>0</v>
      </c>
      <c r="N32" s="157"/>
      <c r="O32" s="157"/>
    </row>
    <row r="33" spans="1:15" x14ac:dyDescent="0.25">
      <c r="A33" s="13" t="s">
        <v>19</v>
      </c>
      <c r="B33" s="51" t="s">
        <v>92</v>
      </c>
      <c r="C33" s="130">
        <f t="shared" ref="C33:O33" si="7">C13-C14</f>
        <v>0</v>
      </c>
      <c r="D33" s="152">
        <f t="shared" si="7"/>
        <v>0</v>
      </c>
      <c r="E33" s="152">
        <f t="shared" si="7"/>
        <v>0</v>
      </c>
      <c r="F33" s="152">
        <f t="shared" si="7"/>
        <v>0</v>
      </c>
      <c r="G33" s="152">
        <f t="shared" si="7"/>
        <v>0</v>
      </c>
      <c r="H33" s="152">
        <f t="shared" si="7"/>
        <v>0</v>
      </c>
      <c r="I33" s="152">
        <f t="shared" si="7"/>
        <v>0</v>
      </c>
      <c r="J33" s="152">
        <f t="shared" si="7"/>
        <v>0</v>
      </c>
      <c r="K33" s="152">
        <f t="shared" si="7"/>
        <v>0</v>
      </c>
      <c r="L33" s="152">
        <f t="shared" si="7"/>
        <v>0</v>
      </c>
      <c r="M33" s="152">
        <f t="shared" si="7"/>
        <v>0</v>
      </c>
      <c r="N33" s="152">
        <f t="shared" si="7"/>
        <v>0</v>
      </c>
      <c r="O33" s="152">
        <f t="shared" si="7"/>
        <v>0</v>
      </c>
    </row>
    <row r="34" spans="1:15" ht="63" x14ac:dyDescent="0.25">
      <c r="A34" s="13" t="s">
        <v>20</v>
      </c>
      <c r="B34" s="51" t="s">
        <v>91</v>
      </c>
      <c r="C34" s="159"/>
      <c r="D34" s="153"/>
      <c r="E34" s="153"/>
      <c r="F34" s="153"/>
      <c r="G34" s="153"/>
      <c r="H34" s="153"/>
      <c r="I34" s="153"/>
      <c r="J34" s="153"/>
      <c r="K34" s="153"/>
      <c r="L34" s="153"/>
      <c r="M34" s="153" t="s">
        <v>61</v>
      </c>
      <c r="N34" s="153" t="s">
        <v>61</v>
      </c>
      <c r="O34" s="153" t="s">
        <v>61</v>
      </c>
    </row>
    <row r="35" spans="1:15" ht="47.25" x14ac:dyDescent="0.25">
      <c r="A35" s="13" t="s">
        <v>21</v>
      </c>
      <c r="B35" s="51" t="s">
        <v>90</v>
      </c>
      <c r="C35" s="159"/>
      <c r="D35" s="160" t="s">
        <v>61</v>
      </c>
      <c r="E35" s="160" t="s">
        <v>61</v>
      </c>
      <c r="F35" s="160" t="s">
        <v>61</v>
      </c>
      <c r="G35" s="160" t="s">
        <v>61</v>
      </c>
      <c r="H35" s="160" t="s">
        <v>61</v>
      </c>
      <c r="I35" s="160" t="s">
        <v>61</v>
      </c>
      <c r="J35" s="160"/>
      <c r="K35" s="160"/>
      <c r="L35" s="160"/>
      <c r="M35" s="160"/>
      <c r="N35" s="160"/>
      <c r="O35" s="160"/>
    </row>
    <row r="36" spans="1:15" ht="2.25" customHeight="1" x14ac:dyDescent="0.25"/>
    <row r="37" spans="1:15" x14ac:dyDescent="0.25">
      <c r="A37" s="40" t="s">
        <v>62</v>
      </c>
      <c r="B37" s="574" t="s">
        <v>63</v>
      </c>
      <c r="C37" s="574"/>
      <c r="D37" s="574"/>
      <c r="E37" s="574"/>
      <c r="F37" s="574"/>
      <c r="G37" s="574"/>
      <c r="H37" s="574"/>
      <c r="I37" s="574"/>
      <c r="J37" s="574"/>
      <c r="K37" s="574"/>
      <c r="L37" s="574"/>
      <c r="M37" s="574"/>
      <c r="N37" s="574"/>
      <c r="O37" s="574"/>
    </row>
    <row r="38" spans="1:15" x14ac:dyDescent="0.25">
      <c r="A38" s="40" t="s">
        <v>64</v>
      </c>
      <c r="B38" s="40" t="s">
        <v>65</v>
      </c>
    </row>
    <row r="39" spans="1:15" ht="14.25" customHeight="1" x14ac:dyDescent="0.25">
      <c r="A39" s="40" t="s">
        <v>66</v>
      </c>
      <c r="B39" s="40" t="s">
        <v>67</v>
      </c>
    </row>
    <row r="40" spans="1:15" ht="3.75" hidden="1" customHeight="1" x14ac:dyDescent="0.25">
      <c r="A40" s="575"/>
      <c r="B40" s="575"/>
      <c r="C40" s="575"/>
      <c r="D40" s="575"/>
      <c r="E40" s="575"/>
      <c r="F40" s="575"/>
      <c r="G40" s="575"/>
      <c r="H40" s="575"/>
      <c r="I40" s="575"/>
      <c r="J40" s="575"/>
      <c r="K40" s="575"/>
    </row>
    <row r="41" spans="1:15" ht="19.5" customHeight="1" x14ac:dyDescent="0.25">
      <c r="A41" s="36" t="s">
        <v>29</v>
      </c>
      <c r="B41" s="14"/>
      <c r="C41" s="29"/>
      <c r="D41" s="35"/>
      <c r="E41" s="15"/>
      <c r="F41" s="15"/>
      <c r="G41" s="15"/>
      <c r="H41" s="15"/>
      <c r="I41" s="588" t="s">
        <v>280</v>
      </c>
      <c r="J41" s="588"/>
      <c r="K41" s="14"/>
      <c r="L41" s="14"/>
    </row>
    <row r="42" spans="1:15" x14ac:dyDescent="0.25">
      <c r="A42" s="37"/>
      <c r="B42" s="16" t="s">
        <v>30</v>
      </c>
      <c r="C42" s="518" t="s">
        <v>31</v>
      </c>
      <c r="D42" s="518"/>
      <c r="E42" s="16"/>
      <c r="F42" s="16"/>
      <c r="G42" s="16"/>
      <c r="H42" s="16"/>
      <c r="I42" s="522" t="s">
        <v>11</v>
      </c>
      <c r="J42" s="522"/>
      <c r="K42" s="16"/>
      <c r="L42" s="32"/>
    </row>
    <row r="43" spans="1:15" x14ac:dyDescent="0.25">
      <c r="A43" s="36" t="s">
        <v>96</v>
      </c>
      <c r="B43" s="14"/>
      <c r="C43" s="29"/>
      <c r="D43" s="35"/>
      <c r="E43" s="15"/>
      <c r="F43" s="15"/>
      <c r="G43" s="15"/>
      <c r="H43" s="15"/>
      <c r="I43" s="588" t="s">
        <v>331</v>
      </c>
      <c r="J43" s="588"/>
      <c r="K43" s="33"/>
      <c r="L43" s="33"/>
    </row>
    <row r="44" spans="1:15" ht="15.75" customHeight="1" x14ac:dyDescent="0.25">
      <c r="A44" s="31"/>
      <c r="B44" s="16"/>
      <c r="C44" s="521" t="s">
        <v>31</v>
      </c>
      <c r="D44" s="521"/>
      <c r="E44" s="16"/>
      <c r="F44" s="16"/>
      <c r="G44" s="16"/>
      <c r="H44" s="16"/>
      <c r="I44" s="522" t="s">
        <v>11</v>
      </c>
      <c r="J44" s="522"/>
      <c r="K44" s="32"/>
      <c r="L44" s="32"/>
    </row>
    <row r="45" spans="1:15" ht="6" hidden="1" customHeight="1" x14ac:dyDescent="0.25">
      <c r="A45" s="17"/>
      <c r="B45" s="14"/>
      <c r="C45" s="14"/>
      <c r="D45" s="14"/>
      <c r="E45" s="14"/>
      <c r="F45" s="14"/>
      <c r="G45" s="14"/>
      <c r="H45" s="14"/>
      <c r="I45" s="14"/>
      <c r="J45" s="14"/>
      <c r="K45" s="33"/>
      <c r="L45" s="33"/>
    </row>
    <row r="46" spans="1:15" ht="15" customHeight="1" x14ac:dyDescent="0.25">
      <c r="A46" s="17" t="s">
        <v>7</v>
      </c>
      <c r="B46" s="14"/>
      <c r="C46" s="14"/>
      <c r="D46" s="15"/>
      <c r="E46" s="15"/>
      <c r="F46" s="15"/>
      <c r="G46" s="15"/>
      <c r="H46" s="15"/>
      <c r="I46" s="14"/>
      <c r="J46" s="14"/>
      <c r="K46" s="18"/>
      <c r="L46" s="34"/>
    </row>
    <row r="47" spans="1:15" x14ac:dyDescent="0.25">
      <c r="A47" s="18" t="s">
        <v>32</v>
      </c>
      <c r="B47" s="18"/>
      <c r="C47" s="18"/>
      <c r="D47" s="588" t="s">
        <v>332</v>
      </c>
      <c r="E47" s="588"/>
      <c r="F47" s="588"/>
      <c r="G47" s="29"/>
      <c r="H47" s="29"/>
      <c r="I47" s="18"/>
      <c r="J47" s="588" t="s">
        <v>333</v>
      </c>
      <c r="K47" s="588"/>
      <c r="L47" s="588"/>
    </row>
    <row r="48" spans="1:15" ht="18.75" x14ac:dyDescent="0.3">
      <c r="A48" s="18"/>
      <c r="B48" s="14"/>
      <c r="C48" s="14"/>
      <c r="D48" s="522" t="s">
        <v>33</v>
      </c>
      <c r="E48" s="522"/>
      <c r="F48" s="522"/>
      <c r="G48" s="522"/>
      <c r="H48" s="522"/>
      <c r="I48" s="16"/>
      <c r="J48" s="522" t="s">
        <v>34</v>
      </c>
      <c r="K48" s="522"/>
      <c r="L48" s="522"/>
      <c r="O48" s="53" t="s">
        <v>231</v>
      </c>
    </row>
  </sheetData>
  <mergeCells count="27">
    <mergeCell ref="D47:F47"/>
    <mergeCell ref="J47:L47"/>
    <mergeCell ref="D48:H48"/>
    <mergeCell ref="J48:L48"/>
    <mergeCell ref="A40:K40"/>
    <mergeCell ref="I41:J41"/>
    <mergeCell ref="C42:D42"/>
    <mergeCell ref="I42:J42"/>
    <mergeCell ref="I43:J43"/>
    <mergeCell ref="C44:D44"/>
    <mergeCell ref="I44:J44"/>
    <mergeCell ref="B37:O37"/>
    <mergeCell ref="N1:O1"/>
    <mergeCell ref="A4:E4"/>
    <mergeCell ref="A7:K7"/>
    <mergeCell ref="A8:A10"/>
    <mergeCell ref="B8:B10"/>
    <mergeCell ref="C8:C10"/>
    <mergeCell ref="D8:I8"/>
    <mergeCell ref="J8:L8"/>
    <mergeCell ref="M8:O8"/>
    <mergeCell ref="D9:D10"/>
    <mergeCell ref="E9:I9"/>
    <mergeCell ref="J9:J10"/>
    <mergeCell ref="K9:L9"/>
    <mergeCell ref="M9:M10"/>
    <mergeCell ref="N9:O9"/>
  </mergeCells>
  <printOptions horizontalCentered="1"/>
  <pageMargins left="0.11811023622047245" right="0.11811023622047245" top="0.31496062992125984" bottom="0.27559055118110237" header="0" footer="0"/>
  <pageSetup paperSize="9"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8"/>
  <sheetViews>
    <sheetView topLeftCell="B7" workbookViewId="0">
      <pane xSplit="2" ySplit="5" topLeftCell="D33" activePane="bottomRight" state="frozen"/>
      <selection activeCell="B7" sqref="B7"/>
      <selection pane="topRight" activeCell="D7" sqref="D7"/>
      <selection pane="bottomLeft" activeCell="B12" sqref="B12"/>
      <selection pane="bottomRight" activeCell="A7" sqref="A7:O49"/>
    </sheetView>
  </sheetViews>
  <sheetFormatPr defaultRowHeight="15.75" x14ac:dyDescent="0.25"/>
  <cols>
    <col min="1" max="1" width="8.42578125" style="40" customWidth="1"/>
    <col min="2" max="2" width="60.28515625" style="40" customWidth="1"/>
    <col min="3" max="3" width="13.85546875" style="1" customWidth="1"/>
    <col min="4" max="4" width="13.5703125" style="1" customWidth="1"/>
    <col min="5" max="6" width="11.7109375" style="1" customWidth="1"/>
    <col min="7" max="7" width="27" style="1" customWidth="1"/>
    <col min="8" max="8" width="14" style="1" customWidth="1"/>
    <col min="9" max="9" width="13.7109375" style="1" customWidth="1"/>
    <col min="10" max="10" width="14" style="1" customWidth="1"/>
    <col min="11" max="11" width="12.42578125" style="1" customWidth="1"/>
    <col min="12" max="12" width="19.42578125" style="1" customWidth="1"/>
    <col min="13" max="13" width="12.85546875" style="1" customWidth="1"/>
    <col min="14" max="14" width="11.7109375" style="1" customWidth="1"/>
    <col min="15" max="15" width="20" style="1" customWidth="1"/>
    <col min="16" max="16" width="9.140625" style="1"/>
    <col min="17" max="17" width="11.7109375" style="1" customWidth="1"/>
    <col min="18" max="16384" width="9.140625" style="1"/>
  </cols>
  <sheetData>
    <row r="1" spans="1:19" x14ac:dyDescent="0.25">
      <c r="O1" s="41" t="s">
        <v>44</v>
      </c>
    </row>
    <row r="2" spans="1:19" ht="1.5" customHeight="1" x14ac:dyDescent="0.25"/>
    <row r="3" spans="1:19" ht="1.5" customHeight="1" x14ac:dyDescent="0.25"/>
    <row r="4" spans="1:19" ht="23.25" customHeight="1" x14ac:dyDescent="0.25">
      <c r="A4" s="584" t="s">
        <v>327</v>
      </c>
      <c r="B4" s="584"/>
      <c r="C4" s="584"/>
      <c r="D4" s="584"/>
      <c r="E4" s="584"/>
    </row>
    <row r="5" spans="1:19" x14ac:dyDescent="0.25">
      <c r="A5" s="42"/>
      <c r="D5" s="1" t="s">
        <v>45</v>
      </c>
    </row>
    <row r="6" spans="1:19" ht="9.75" customHeight="1" x14ac:dyDescent="0.25">
      <c r="A6" s="43"/>
      <c r="B6" s="43"/>
      <c r="C6" s="44"/>
      <c r="D6" s="44"/>
      <c r="E6" s="44"/>
      <c r="F6" s="44"/>
      <c r="G6" s="44"/>
      <c r="H6" s="44"/>
      <c r="I6" s="44"/>
      <c r="J6" s="44"/>
      <c r="K6" s="44"/>
      <c r="L6" s="44"/>
    </row>
    <row r="7" spans="1:19" ht="18.75" customHeight="1" x14ac:dyDescent="0.25">
      <c r="A7" s="585" t="s">
        <v>336</v>
      </c>
      <c r="B7" s="585"/>
      <c r="C7" s="585"/>
      <c r="D7" s="585"/>
      <c r="E7" s="585"/>
      <c r="F7" s="585"/>
      <c r="G7" s="585"/>
      <c r="H7" s="585"/>
      <c r="I7" s="585"/>
      <c r="J7" s="585"/>
      <c r="K7" s="585"/>
      <c r="L7" s="45"/>
      <c r="M7" s="46"/>
      <c r="N7" s="46"/>
      <c r="O7" s="46"/>
      <c r="P7" s="46"/>
      <c r="Q7" s="46"/>
      <c r="R7" s="46"/>
      <c r="S7" s="46"/>
    </row>
    <row r="8" spans="1:19" s="47" customFormat="1" ht="33" customHeight="1" x14ac:dyDescent="0.2">
      <c r="A8" s="586"/>
      <c r="B8" s="579" t="s">
        <v>46</v>
      </c>
      <c r="C8" s="579" t="s">
        <v>47</v>
      </c>
      <c r="D8" s="581" t="s">
        <v>48</v>
      </c>
      <c r="E8" s="582"/>
      <c r="F8" s="582"/>
      <c r="G8" s="582"/>
      <c r="H8" s="582"/>
      <c r="I8" s="583"/>
      <c r="J8" s="576" t="s">
        <v>49</v>
      </c>
      <c r="K8" s="577"/>
      <c r="L8" s="578"/>
      <c r="M8" s="576" t="s">
        <v>50</v>
      </c>
      <c r="N8" s="577"/>
      <c r="O8" s="578"/>
    </row>
    <row r="9" spans="1:19" s="47" customFormat="1" ht="21" customHeight="1" x14ac:dyDescent="0.2">
      <c r="A9" s="586"/>
      <c r="B9" s="587"/>
      <c r="C9" s="587"/>
      <c r="D9" s="579" t="s">
        <v>51</v>
      </c>
      <c r="E9" s="581" t="s">
        <v>24</v>
      </c>
      <c r="F9" s="582"/>
      <c r="G9" s="582"/>
      <c r="H9" s="582"/>
      <c r="I9" s="583"/>
      <c r="J9" s="579" t="s">
        <v>51</v>
      </c>
      <c r="K9" s="581" t="s">
        <v>24</v>
      </c>
      <c r="L9" s="583"/>
      <c r="M9" s="579" t="s">
        <v>51</v>
      </c>
      <c r="N9" s="581" t="s">
        <v>24</v>
      </c>
      <c r="O9" s="583"/>
    </row>
    <row r="10" spans="1:19" s="47" customFormat="1" ht="66.75" customHeight="1" x14ac:dyDescent="0.2">
      <c r="A10" s="586"/>
      <c r="B10" s="580"/>
      <c r="C10" s="580"/>
      <c r="D10" s="580"/>
      <c r="E10" s="48" t="s">
        <v>52</v>
      </c>
      <c r="F10" s="48" t="s">
        <v>53</v>
      </c>
      <c r="G10" s="48" t="s">
        <v>54</v>
      </c>
      <c r="H10" s="48" t="s">
        <v>55</v>
      </c>
      <c r="I10" s="48" t="s">
        <v>56</v>
      </c>
      <c r="J10" s="580"/>
      <c r="K10" s="48" t="s">
        <v>52</v>
      </c>
      <c r="L10" s="48" t="s">
        <v>57</v>
      </c>
      <c r="M10" s="580"/>
      <c r="N10" s="48" t="s">
        <v>52</v>
      </c>
      <c r="O10" s="48" t="s">
        <v>57</v>
      </c>
    </row>
    <row r="11" spans="1:19" s="50" customFormat="1" ht="16.5" customHeight="1" x14ac:dyDescent="0.25">
      <c r="A11" s="19"/>
      <c r="B11" s="19" t="s">
        <v>58</v>
      </c>
      <c r="C11" s="49">
        <v>1</v>
      </c>
      <c r="D11" s="49">
        <v>2</v>
      </c>
      <c r="E11" s="49">
        <v>3</v>
      </c>
      <c r="F11" s="49">
        <v>4</v>
      </c>
      <c r="G11" s="49">
        <v>5</v>
      </c>
      <c r="H11" s="49">
        <v>6</v>
      </c>
      <c r="I11" s="49">
        <v>7</v>
      </c>
      <c r="J11" s="49">
        <v>8</v>
      </c>
      <c r="K11" s="49">
        <v>9</v>
      </c>
      <c r="L11" s="49">
        <v>10</v>
      </c>
      <c r="M11" s="49">
        <v>11</v>
      </c>
      <c r="N11" s="49">
        <v>12</v>
      </c>
      <c r="O11" s="49">
        <v>13</v>
      </c>
    </row>
    <row r="12" spans="1:19" ht="32.25" customHeight="1" x14ac:dyDescent="0.25">
      <c r="A12" s="128" t="s">
        <v>17</v>
      </c>
      <c r="B12" s="129" t="s">
        <v>85</v>
      </c>
      <c r="C12" s="130">
        <v>204.25</v>
      </c>
      <c r="D12" s="160" t="s">
        <v>61</v>
      </c>
      <c r="E12" s="160" t="s">
        <v>61</v>
      </c>
      <c r="F12" s="160" t="s">
        <v>61</v>
      </c>
      <c r="G12" s="160" t="s">
        <v>61</v>
      </c>
      <c r="H12" s="160" t="s">
        <v>61</v>
      </c>
      <c r="I12" s="160" t="s">
        <v>61</v>
      </c>
      <c r="J12" s="160" t="s">
        <v>61</v>
      </c>
      <c r="K12" s="160" t="s">
        <v>61</v>
      </c>
      <c r="L12" s="160" t="s">
        <v>61</v>
      </c>
      <c r="M12" s="160" t="s">
        <v>61</v>
      </c>
      <c r="N12" s="160" t="s">
        <v>61</v>
      </c>
      <c r="O12" s="160" t="s">
        <v>61</v>
      </c>
    </row>
    <row r="13" spans="1:19" ht="49.5" customHeight="1" x14ac:dyDescent="0.25">
      <c r="A13" s="164" t="s">
        <v>18</v>
      </c>
      <c r="B13" s="165" t="s">
        <v>329</v>
      </c>
      <c r="C13" s="132">
        <f>C15+C29+C30+C31</f>
        <v>94.4</v>
      </c>
      <c r="D13" s="134">
        <f t="shared" ref="D13:O13" si="0">D15+D29+D30+D31</f>
        <v>2633.5</v>
      </c>
      <c r="E13" s="134">
        <f>E15+E29+E30+E31</f>
        <v>965</v>
      </c>
      <c r="F13" s="134">
        <f t="shared" si="0"/>
        <v>804.2</v>
      </c>
      <c r="G13" s="134">
        <f t="shared" si="0"/>
        <v>125.1</v>
      </c>
      <c r="H13" s="134">
        <f t="shared" si="0"/>
        <v>0</v>
      </c>
      <c r="I13" s="134">
        <f t="shared" si="0"/>
        <v>739.2</v>
      </c>
      <c r="J13" s="134">
        <f t="shared" si="0"/>
        <v>3628.6</v>
      </c>
      <c r="K13" s="134">
        <f t="shared" si="0"/>
        <v>1237.2</v>
      </c>
      <c r="L13" s="134">
        <f t="shared" si="0"/>
        <v>2391.4</v>
      </c>
      <c r="M13" s="134">
        <f t="shared" si="0"/>
        <v>36715.9</v>
      </c>
      <c r="N13" s="134">
        <f t="shared" si="0"/>
        <v>13963.1</v>
      </c>
      <c r="O13" s="134">
        <f t="shared" si="0"/>
        <v>22752.799999999999</v>
      </c>
      <c r="Q13" s="166">
        <f t="shared" ref="Q13:Q34" si="1">(D13+J13+M13)/C13/12*1000</f>
        <v>37939.620000000003</v>
      </c>
    </row>
    <row r="14" spans="1:19" ht="33.75" customHeight="1" x14ac:dyDescent="0.25">
      <c r="A14" s="167" t="s">
        <v>16</v>
      </c>
      <c r="B14" s="168" t="s">
        <v>89</v>
      </c>
      <c r="C14" s="137">
        <f>C16+C29+C30+C32</f>
        <v>83.4</v>
      </c>
      <c r="D14" s="139">
        <f t="shared" ref="D14:O14" si="2">D16+D29+D30+D32</f>
        <v>2503.5</v>
      </c>
      <c r="E14" s="139">
        <f t="shared" si="2"/>
        <v>878.3</v>
      </c>
      <c r="F14" s="139">
        <f t="shared" si="2"/>
        <v>760.9</v>
      </c>
      <c r="G14" s="139">
        <f t="shared" si="2"/>
        <v>125.1</v>
      </c>
      <c r="H14" s="139">
        <f t="shared" si="2"/>
        <v>0</v>
      </c>
      <c r="I14" s="139">
        <f t="shared" si="2"/>
        <v>739.2</v>
      </c>
      <c r="J14" s="139">
        <f t="shared" si="2"/>
        <v>3328.6</v>
      </c>
      <c r="K14" s="139">
        <f t="shared" si="2"/>
        <v>1237.2</v>
      </c>
      <c r="L14" s="139">
        <f t="shared" si="2"/>
        <v>2091.4</v>
      </c>
      <c r="M14" s="139">
        <f t="shared" si="2"/>
        <v>34060.199999999997</v>
      </c>
      <c r="N14" s="139">
        <f t="shared" si="2"/>
        <v>12829</v>
      </c>
      <c r="O14" s="139">
        <f t="shared" si="2"/>
        <v>21231.200000000001</v>
      </c>
      <c r="Q14" s="166">
        <f t="shared" si="1"/>
        <v>39860.410000000003</v>
      </c>
    </row>
    <row r="15" spans="1:19" ht="35.25" customHeight="1" x14ac:dyDescent="0.25">
      <c r="A15" s="169" t="s">
        <v>70</v>
      </c>
      <c r="B15" s="170" t="s">
        <v>87</v>
      </c>
      <c r="C15" s="132">
        <f>C17+C19+C21+C23+C25+C27</f>
        <v>61.4</v>
      </c>
      <c r="D15" s="134">
        <f t="shared" ref="D15:O16" si="3">D17+D19+D21+D23+D25+D27</f>
        <v>2498.6999999999998</v>
      </c>
      <c r="E15" s="134">
        <f t="shared" si="3"/>
        <v>850.6</v>
      </c>
      <c r="F15" s="134">
        <f t="shared" si="3"/>
        <v>783.8</v>
      </c>
      <c r="G15" s="134">
        <f t="shared" si="3"/>
        <v>125.1</v>
      </c>
      <c r="H15" s="134">
        <f t="shared" si="3"/>
        <v>0</v>
      </c>
      <c r="I15" s="134">
        <f t="shared" si="3"/>
        <v>739.2</v>
      </c>
      <c r="J15" s="134">
        <f t="shared" si="3"/>
        <v>1075.8</v>
      </c>
      <c r="K15" s="134">
        <f t="shared" si="3"/>
        <v>97.4</v>
      </c>
      <c r="L15" s="134">
        <f t="shared" si="3"/>
        <v>978.4</v>
      </c>
      <c r="M15" s="134">
        <f t="shared" si="3"/>
        <v>30702</v>
      </c>
      <c r="N15" s="134">
        <f t="shared" si="3"/>
        <v>11256.3</v>
      </c>
      <c r="O15" s="134">
        <f t="shared" si="3"/>
        <v>19445.7</v>
      </c>
      <c r="Q15" s="166">
        <f t="shared" si="1"/>
        <v>46520.77</v>
      </c>
    </row>
    <row r="16" spans="1:19" ht="33.75" customHeight="1" x14ac:dyDescent="0.25">
      <c r="A16" s="171"/>
      <c r="B16" s="172" t="s">
        <v>88</v>
      </c>
      <c r="C16" s="144">
        <f>C18+C20+C22+C24+C26+C28</f>
        <v>58.4</v>
      </c>
      <c r="D16" s="146">
        <f t="shared" si="3"/>
        <v>2368.6999999999998</v>
      </c>
      <c r="E16" s="146">
        <f t="shared" si="3"/>
        <v>763.9</v>
      </c>
      <c r="F16" s="146">
        <f t="shared" si="3"/>
        <v>740.5</v>
      </c>
      <c r="G16" s="146">
        <f t="shared" si="3"/>
        <v>125.1</v>
      </c>
      <c r="H16" s="146">
        <f t="shared" si="3"/>
        <v>0</v>
      </c>
      <c r="I16" s="146">
        <f t="shared" si="3"/>
        <v>739.2</v>
      </c>
      <c r="J16" s="146">
        <f t="shared" si="3"/>
        <v>775.8</v>
      </c>
      <c r="K16" s="146">
        <f t="shared" si="3"/>
        <v>97.4</v>
      </c>
      <c r="L16" s="146">
        <f t="shared" si="3"/>
        <v>678.4</v>
      </c>
      <c r="M16" s="146">
        <f t="shared" si="3"/>
        <v>29486.3</v>
      </c>
      <c r="N16" s="146">
        <f t="shared" si="3"/>
        <v>10686</v>
      </c>
      <c r="O16" s="146">
        <f>O18+O20+O22+O24+O26+O28</f>
        <v>18800.3</v>
      </c>
      <c r="Q16" s="166">
        <f t="shared" si="1"/>
        <v>46562.21</v>
      </c>
    </row>
    <row r="17" spans="1:18" ht="35.25" customHeight="1" x14ac:dyDescent="0.25">
      <c r="A17" s="147" t="s">
        <v>71</v>
      </c>
      <c r="B17" s="148" t="s">
        <v>59</v>
      </c>
      <c r="C17" s="132">
        <f>14+1.7</f>
        <v>15.7</v>
      </c>
      <c r="D17" s="152">
        <f t="shared" ref="D17:D32" si="4">SUM(E17:I17)</f>
        <v>1776.9</v>
      </c>
      <c r="E17" s="153">
        <f>(2*17378*12)/1000</f>
        <v>417.1</v>
      </c>
      <c r="F17" s="153">
        <v>567.5</v>
      </c>
      <c r="G17" s="153">
        <f>E17*0.3</f>
        <v>125.1</v>
      </c>
      <c r="H17" s="153"/>
      <c r="I17" s="153">
        <f>(2*27800*12)/1000</f>
        <v>667.2</v>
      </c>
      <c r="J17" s="152">
        <f t="shared" ref="J17:J32" si="5">K17+L17</f>
        <v>584.20000000000005</v>
      </c>
      <c r="K17" s="153"/>
      <c r="L17" s="153">
        <v>584.20000000000005</v>
      </c>
      <c r="M17" s="152">
        <f t="shared" ref="M17:M32" si="6">N17+O17</f>
        <v>11556.4</v>
      </c>
      <c r="N17" s="153">
        <f>2935.2+384.3</f>
        <v>3319.5</v>
      </c>
      <c r="O17" s="153">
        <f>7131.3+1240.5-134.9</f>
        <v>8236.9</v>
      </c>
      <c r="Q17" s="166">
        <f t="shared" si="1"/>
        <v>73872.08</v>
      </c>
    </row>
    <row r="18" spans="1:18" ht="35.25" customHeight="1" x14ac:dyDescent="0.25">
      <c r="A18" s="171"/>
      <c r="B18" s="172" t="s">
        <v>88</v>
      </c>
      <c r="C18" s="144">
        <f>12.5+1.7</f>
        <v>14.2</v>
      </c>
      <c r="D18" s="146">
        <f t="shared" si="4"/>
        <v>1776.9</v>
      </c>
      <c r="E18" s="157">
        <v>417.1</v>
      </c>
      <c r="F18" s="157">
        <v>567.5</v>
      </c>
      <c r="G18" s="157">
        <v>125.1</v>
      </c>
      <c r="H18" s="157"/>
      <c r="I18" s="173">
        <v>667.2</v>
      </c>
      <c r="J18" s="146">
        <f t="shared" si="5"/>
        <v>284.2</v>
      </c>
      <c r="K18" s="157"/>
      <c r="L18" s="157">
        <v>284.2</v>
      </c>
      <c r="M18" s="146">
        <f t="shared" si="6"/>
        <v>10678.8</v>
      </c>
      <c r="N18" s="157">
        <f>12.5*17.5*12+1.83*17.5*12</f>
        <v>3009.3</v>
      </c>
      <c r="O18" s="157">
        <f>6563.9+1240.5-134.9</f>
        <v>7669.5</v>
      </c>
      <c r="Q18" s="166">
        <f t="shared" si="1"/>
        <v>74764.67</v>
      </c>
      <c r="R18" s="174">
        <f>(M17-M18)/(C17-C18)/12*1000</f>
        <v>48755.6</v>
      </c>
    </row>
    <row r="19" spans="1:18" ht="24.75" customHeight="1" x14ac:dyDescent="0.25">
      <c r="A19" s="147" t="s">
        <v>72</v>
      </c>
      <c r="B19" s="148" t="s">
        <v>80</v>
      </c>
      <c r="C19" s="132">
        <f>41.25+1.7</f>
        <v>42.95</v>
      </c>
      <c r="D19" s="152">
        <f t="shared" si="4"/>
        <v>721.8</v>
      </c>
      <c r="E19" s="153">
        <f>(2.5*14450*12)/1000</f>
        <v>433.5</v>
      </c>
      <c r="F19" s="153">
        <f>2.5*2168*12/1000+151.3</f>
        <v>216.3</v>
      </c>
      <c r="G19" s="153"/>
      <c r="H19" s="153"/>
      <c r="I19" s="175">
        <v>72</v>
      </c>
      <c r="J19" s="152">
        <f t="shared" si="5"/>
        <v>491.6</v>
      </c>
      <c r="K19" s="153">
        <v>97.4</v>
      </c>
      <c r="L19" s="153">
        <f>491.6-97.4</f>
        <v>394.2</v>
      </c>
      <c r="M19" s="152">
        <f t="shared" si="6"/>
        <v>17921.5</v>
      </c>
      <c r="N19" s="153">
        <f>7276.7+307.4</f>
        <v>7584.1</v>
      </c>
      <c r="O19" s="153">
        <f>9658+812.4-133</f>
        <v>10337.4</v>
      </c>
      <c r="Q19" s="166">
        <f t="shared" si="1"/>
        <v>37126.31</v>
      </c>
    </row>
    <row r="20" spans="1:18" ht="31.5" x14ac:dyDescent="0.25">
      <c r="A20" s="171"/>
      <c r="B20" s="172" t="s">
        <v>88</v>
      </c>
      <c r="C20" s="144">
        <f>39.75+1.7</f>
        <v>41.45</v>
      </c>
      <c r="D20" s="146">
        <f t="shared" si="4"/>
        <v>591.79999999999995</v>
      </c>
      <c r="E20" s="157">
        <f>(2*14450*12)/1000</f>
        <v>346.8</v>
      </c>
      <c r="F20" s="157">
        <f>(2*2168*12)/1000+121</f>
        <v>173</v>
      </c>
      <c r="G20" s="157"/>
      <c r="H20" s="157"/>
      <c r="I20" s="173">
        <v>72</v>
      </c>
      <c r="J20" s="146">
        <f t="shared" si="5"/>
        <v>491.6</v>
      </c>
      <c r="K20" s="157">
        <v>97.4</v>
      </c>
      <c r="L20" s="157">
        <v>394.2</v>
      </c>
      <c r="M20" s="146">
        <f t="shared" si="6"/>
        <v>17583.400000000001</v>
      </c>
      <c r="N20" s="157">
        <f>7016.6+307.4</f>
        <v>7324</v>
      </c>
      <c r="O20" s="157">
        <f>9580+812.4-133</f>
        <v>10259.4</v>
      </c>
      <c r="Q20" s="166">
        <f t="shared" si="1"/>
        <v>37528.75</v>
      </c>
    </row>
    <row r="21" spans="1:18" ht="24.75" customHeight="1" x14ac:dyDescent="0.25">
      <c r="A21" s="128" t="s">
        <v>73</v>
      </c>
      <c r="B21" s="176" t="s">
        <v>60</v>
      </c>
      <c r="C21" s="132"/>
      <c r="D21" s="152">
        <f t="shared" si="4"/>
        <v>0</v>
      </c>
      <c r="E21" s="153"/>
      <c r="F21" s="153"/>
      <c r="G21" s="153"/>
      <c r="H21" s="153"/>
      <c r="I21" s="153"/>
      <c r="J21" s="152">
        <f t="shared" si="5"/>
        <v>0</v>
      </c>
      <c r="K21" s="153"/>
      <c r="L21" s="153"/>
      <c r="M21" s="152">
        <f t="shared" si="6"/>
        <v>0</v>
      </c>
      <c r="N21" s="153"/>
      <c r="O21" s="153"/>
      <c r="Q21" s="166" t="e">
        <f t="shared" si="1"/>
        <v>#DIV/0!</v>
      </c>
    </row>
    <row r="22" spans="1:18" ht="31.5" x14ac:dyDescent="0.25">
      <c r="A22" s="171"/>
      <c r="B22" s="172" t="s">
        <v>88</v>
      </c>
      <c r="C22" s="144"/>
      <c r="D22" s="146">
        <f t="shared" si="4"/>
        <v>0</v>
      </c>
      <c r="E22" s="157"/>
      <c r="F22" s="157"/>
      <c r="G22" s="157"/>
      <c r="H22" s="157"/>
      <c r="I22" s="157"/>
      <c r="J22" s="146">
        <f t="shared" si="5"/>
        <v>0</v>
      </c>
      <c r="K22" s="157"/>
      <c r="L22" s="157"/>
      <c r="M22" s="146">
        <f t="shared" si="6"/>
        <v>0</v>
      </c>
      <c r="N22" s="157"/>
      <c r="O22" s="157"/>
      <c r="Q22" s="166" t="e">
        <f t="shared" si="1"/>
        <v>#DIV/0!</v>
      </c>
    </row>
    <row r="23" spans="1:18" ht="27" customHeight="1" x14ac:dyDescent="0.25">
      <c r="A23" s="128" t="s">
        <v>74</v>
      </c>
      <c r="B23" s="176" t="s">
        <v>94</v>
      </c>
      <c r="C23" s="132"/>
      <c r="D23" s="152">
        <f t="shared" si="4"/>
        <v>0</v>
      </c>
      <c r="E23" s="153"/>
      <c r="F23" s="153"/>
      <c r="G23" s="153"/>
      <c r="H23" s="153"/>
      <c r="I23" s="153"/>
      <c r="J23" s="152">
        <f t="shared" si="5"/>
        <v>0</v>
      </c>
      <c r="K23" s="153"/>
      <c r="L23" s="153"/>
      <c r="M23" s="152">
        <f t="shared" si="6"/>
        <v>0</v>
      </c>
      <c r="N23" s="153"/>
      <c r="O23" s="153"/>
      <c r="Q23" s="166" t="e">
        <f t="shared" si="1"/>
        <v>#DIV/0!</v>
      </c>
    </row>
    <row r="24" spans="1:18" ht="31.5" x14ac:dyDescent="0.25">
      <c r="A24" s="171"/>
      <c r="B24" s="172" t="s">
        <v>88</v>
      </c>
      <c r="C24" s="144"/>
      <c r="D24" s="146">
        <f t="shared" si="4"/>
        <v>0</v>
      </c>
      <c r="E24" s="157"/>
      <c r="F24" s="157"/>
      <c r="G24" s="157"/>
      <c r="H24" s="157"/>
      <c r="I24" s="157"/>
      <c r="J24" s="146">
        <f t="shared" si="5"/>
        <v>0</v>
      </c>
      <c r="K24" s="157"/>
      <c r="L24" s="157"/>
      <c r="M24" s="146">
        <f t="shared" si="6"/>
        <v>0</v>
      </c>
      <c r="N24" s="157"/>
      <c r="O24" s="157"/>
      <c r="Q24" s="166" t="e">
        <f t="shared" si="1"/>
        <v>#DIV/0!</v>
      </c>
    </row>
    <row r="25" spans="1:18" ht="27.75" customHeight="1" x14ac:dyDescent="0.25">
      <c r="A25" s="128" t="s">
        <v>75</v>
      </c>
      <c r="B25" s="176" t="s">
        <v>93</v>
      </c>
      <c r="C25" s="132"/>
      <c r="D25" s="152">
        <f t="shared" si="4"/>
        <v>0</v>
      </c>
      <c r="E25" s="153"/>
      <c r="F25" s="153"/>
      <c r="G25" s="153"/>
      <c r="H25" s="153"/>
      <c r="I25" s="153"/>
      <c r="J25" s="152">
        <f t="shared" si="5"/>
        <v>0</v>
      </c>
      <c r="K25" s="153"/>
      <c r="L25" s="153"/>
      <c r="M25" s="152">
        <f t="shared" si="6"/>
        <v>0</v>
      </c>
      <c r="N25" s="153"/>
      <c r="O25" s="153"/>
      <c r="Q25" s="166" t="e">
        <f t="shared" si="1"/>
        <v>#DIV/0!</v>
      </c>
    </row>
    <row r="26" spans="1:18" ht="31.5" x14ac:dyDescent="0.25">
      <c r="A26" s="171"/>
      <c r="B26" s="172" t="s">
        <v>88</v>
      </c>
      <c r="C26" s="144"/>
      <c r="D26" s="146">
        <f t="shared" si="4"/>
        <v>0</v>
      </c>
      <c r="E26" s="157"/>
      <c r="F26" s="157"/>
      <c r="G26" s="157"/>
      <c r="H26" s="157"/>
      <c r="I26" s="157"/>
      <c r="J26" s="146">
        <f t="shared" si="5"/>
        <v>0</v>
      </c>
      <c r="K26" s="157"/>
      <c r="L26" s="157"/>
      <c r="M26" s="146">
        <f t="shared" si="6"/>
        <v>0</v>
      </c>
      <c r="N26" s="157"/>
      <c r="O26" s="157"/>
      <c r="Q26" s="166" t="e">
        <f t="shared" si="1"/>
        <v>#DIV/0!</v>
      </c>
    </row>
    <row r="27" spans="1:18" ht="29.25" customHeight="1" x14ac:dyDescent="0.25">
      <c r="A27" s="147" t="s">
        <v>76</v>
      </c>
      <c r="B27" s="148" t="s">
        <v>81</v>
      </c>
      <c r="C27" s="130">
        <v>2.75</v>
      </c>
      <c r="D27" s="152">
        <f t="shared" si="4"/>
        <v>0</v>
      </c>
      <c r="E27" s="153"/>
      <c r="F27" s="153"/>
      <c r="G27" s="153"/>
      <c r="H27" s="153"/>
      <c r="I27" s="153"/>
      <c r="J27" s="152">
        <f t="shared" si="5"/>
        <v>0</v>
      </c>
      <c r="K27" s="153"/>
      <c r="L27" s="153"/>
      <c r="M27" s="152">
        <f t="shared" si="6"/>
        <v>1224.0999999999999</v>
      </c>
      <c r="N27" s="153">
        <v>352.7</v>
      </c>
      <c r="O27" s="153">
        <v>871.4</v>
      </c>
      <c r="Q27" s="166">
        <f t="shared" si="1"/>
        <v>37093.94</v>
      </c>
    </row>
    <row r="28" spans="1:18" ht="31.5" x14ac:dyDescent="0.25">
      <c r="A28" s="171"/>
      <c r="B28" s="172" t="s">
        <v>88</v>
      </c>
      <c r="C28" s="144">
        <v>2.75</v>
      </c>
      <c r="D28" s="146">
        <f t="shared" si="4"/>
        <v>0</v>
      </c>
      <c r="E28" s="157"/>
      <c r="F28" s="157"/>
      <c r="G28" s="157"/>
      <c r="H28" s="157"/>
      <c r="I28" s="157"/>
      <c r="J28" s="146">
        <f t="shared" si="5"/>
        <v>0</v>
      </c>
      <c r="K28" s="157"/>
      <c r="L28" s="157"/>
      <c r="M28" s="146">
        <f t="shared" si="6"/>
        <v>1224.0999999999999</v>
      </c>
      <c r="N28" s="157">
        <v>352.7</v>
      </c>
      <c r="O28" s="157">
        <v>871.4</v>
      </c>
      <c r="Q28" s="166">
        <f t="shared" si="1"/>
        <v>37093.94</v>
      </c>
    </row>
    <row r="29" spans="1:18" ht="30.75" customHeight="1" x14ac:dyDescent="0.25">
      <c r="A29" s="171" t="s">
        <v>77</v>
      </c>
      <c r="B29" s="172" t="s">
        <v>82</v>
      </c>
      <c r="C29" s="144">
        <v>1</v>
      </c>
      <c r="D29" s="146">
        <f t="shared" si="4"/>
        <v>0</v>
      </c>
      <c r="E29" s="157"/>
      <c r="F29" s="157"/>
      <c r="G29" s="157"/>
      <c r="H29" s="157"/>
      <c r="I29" s="157"/>
      <c r="J29" s="146">
        <f t="shared" si="5"/>
        <v>0</v>
      </c>
      <c r="K29" s="157"/>
      <c r="L29" s="157"/>
      <c r="M29" s="146">
        <f t="shared" si="6"/>
        <v>1079.4000000000001</v>
      </c>
      <c r="N29" s="157">
        <v>415.3</v>
      </c>
      <c r="O29" s="157">
        <v>664.1</v>
      </c>
      <c r="Q29" s="166">
        <f t="shared" si="1"/>
        <v>89950</v>
      </c>
    </row>
    <row r="30" spans="1:18" ht="33.75" customHeight="1" x14ac:dyDescent="0.25">
      <c r="A30" s="171" t="s">
        <v>78</v>
      </c>
      <c r="B30" s="172" t="s">
        <v>83</v>
      </c>
      <c r="C30" s="144">
        <v>1</v>
      </c>
      <c r="D30" s="146">
        <f t="shared" si="4"/>
        <v>0</v>
      </c>
      <c r="E30" s="157"/>
      <c r="F30" s="157"/>
      <c r="G30" s="157"/>
      <c r="H30" s="157"/>
      <c r="I30" s="157"/>
      <c r="J30" s="146">
        <f t="shared" si="5"/>
        <v>0</v>
      </c>
      <c r="K30" s="157"/>
      <c r="L30" s="157"/>
      <c r="M30" s="146">
        <f t="shared" si="6"/>
        <v>536.4</v>
      </c>
      <c r="N30" s="157">
        <v>276.2</v>
      </c>
      <c r="O30" s="157">
        <v>260.2</v>
      </c>
      <c r="Q30" s="166">
        <f t="shared" si="1"/>
        <v>44700</v>
      </c>
    </row>
    <row r="31" spans="1:18" ht="27" customHeight="1" x14ac:dyDescent="0.25">
      <c r="A31" s="128" t="s">
        <v>79</v>
      </c>
      <c r="B31" s="129" t="s">
        <v>84</v>
      </c>
      <c r="C31" s="130">
        <v>31</v>
      </c>
      <c r="D31" s="152">
        <f t="shared" si="4"/>
        <v>134.80000000000001</v>
      </c>
      <c r="E31" s="153">
        <f>9.537*12</f>
        <v>114.4</v>
      </c>
      <c r="F31" s="153">
        <v>20.399999999999999</v>
      </c>
      <c r="G31" s="153"/>
      <c r="H31" s="153"/>
      <c r="I31" s="153"/>
      <c r="J31" s="152">
        <f t="shared" si="5"/>
        <v>2552.8000000000002</v>
      </c>
      <c r="K31" s="153">
        <f>9*10.555*12-0.1</f>
        <v>1139.8</v>
      </c>
      <c r="L31" s="153">
        <v>1413</v>
      </c>
      <c r="M31" s="152">
        <f t="shared" si="6"/>
        <v>4398.1000000000004</v>
      </c>
      <c r="N31" s="153">
        <v>2015.3</v>
      </c>
      <c r="O31" s="153">
        <v>2382.8000000000002</v>
      </c>
      <c r="Q31" s="166">
        <f t="shared" si="1"/>
        <v>19047.580000000002</v>
      </c>
    </row>
    <row r="32" spans="1:18" ht="31.5" x14ac:dyDescent="0.25">
      <c r="A32" s="171"/>
      <c r="B32" s="172" t="s">
        <v>88</v>
      </c>
      <c r="C32" s="144">
        <v>23</v>
      </c>
      <c r="D32" s="146">
        <f t="shared" si="4"/>
        <v>134.80000000000001</v>
      </c>
      <c r="E32" s="157">
        <v>114.4</v>
      </c>
      <c r="F32" s="157">
        <v>20.399999999999999</v>
      </c>
      <c r="G32" s="157"/>
      <c r="H32" s="157"/>
      <c r="I32" s="157"/>
      <c r="J32" s="146">
        <f t="shared" si="5"/>
        <v>2552.8000000000002</v>
      </c>
      <c r="K32" s="157">
        <v>1139.8</v>
      </c>
      <c r="L32" s="157">
        <v>1413</v>
      </c>
      <c r="M32" s="146">
        <f t="shared" si="6"/>
        <v>2958.1</v>
      </c>
      <c r="N32" s="157">
        <v>1451.5</v>
      </c>
      <c r="O32" s="157">
        <v>1506.6</v>
      </c>
      <c r="Q32" s="166">
        <f t="shared" si="1"/>
        <v>20455.43</v>
      </c>
    </row>
    <row r="33" spans="1:17" ht="28.5" customHeight="1" x14ac:dyDescent="0.25">
      <c r="A33" s="128" t="s">
        <v>19</v>
      </c>
      <c r="B33" s="129" t="s">
        <v>92</v>
      </c>
      <c r="C33" s="130">
        <f>C13-C14</f>
        <v>11</v>
      </c>
      <c r="D33" s="152">
        <f t="shared" ref="D33:O33" si="7">D13-D14</f>
        <v>130</v>
      </c>
      <c r="E33" s="152">
        <f t="shared" si="7"/>
        <v>86.7</v>
      </c>
      <c r="F33" s="152">
        <f t="shared" si="7"/>
        <v>43.3</v>
      </c>
      <c r="G33" s="152">
        <f t="shared" si="7"/>
        <v>0</v>
      </c>
      <c r="H33" s="152">
        <f t="shared" si="7"/>
        <v>0</v>
      </c>
      <c r="I33" s="152">
        <f t="shared" si="7"/>
        <v>0</v>
      </c>
      <c r="J33" s="152">
        <f>J13-J14</f>
        <v>300</v>
      </c>
      <c r="K33" s="152">
        <f t="shared" si="7"/>
        <v>0</v>
      </c>
      <c r="L33" s="152">
        <f t="shared" si="7"/>
        <v>300</v>
      </c>
      <c r="M33" s="152">
        <f t="shared" si="7"/>
        <v>2655.7</v>
      </c>
      <c r="N33" s="152">
        <f>N13-N14</f>
        <v>1134.0999999999999</v>
      </c>
      <c r="O33" s="152">
        <f t="shared" si="7"/>
        <v>1521.6</v>
      </c>
      <c r="Q33" s="166">
        <f t="shared" si="1"/>
        <v>23376.52</v>
      </c>
    </row>
    <row r="34" spans="1:17" ht="62.25" customHeight="1" x14ac:dyDescent="0.25">
      <c r="A34" s="13" t="s">
        <v>20</v>
      </c>
      <c r="B34" s="51" t="s">
        <v>91</v>
      </c>
      <c r="C34" s="159"/>
      <c r="D34" s="153"/>
      <c r="E34" s="153"/>
      <c r="F34" s="153"/>
      <c r="G34" s="153"/>
      <c r="H34" s="153"/>
      <c r="I34" s="153"/>
      <c r="J34" s="153"/>
      <c r="K34" s="153"/>
      <c r="L34" s="153"/>
      <c r="M34" s="153" t="s">
        <v>61</v>
      </c>
      <c r="N34" s="153" t="s">
        <v>61</v>
      </c>
      <c r="O34" s="153" t="s">
        <v>61</v>
      </c>
      <c r="Q34" s="166" t="e">
        <f t="shared" si="1"/>
        <v>#VALUE!</v>
      </c>
    </row>
    <row r="35" spans="1:17" ht="47.25" x14ac:dyDescent="0.25">
      <c r="A35" s="13" t="s">
        <v>21</v>
      </c>
      <c r="B35" s="51" t="s">
        <v>90</v>
      </c>
      <c r="C35" s="177">
        <v>8</v>
      </c>
      <c r="D35" s="153" t="s">
        <v>61</v>
      </c>
      <c r="E35" s="153" t="s">
        <v>61</v>
      </c>
      <c r="F35" s="153" t="s">
        <v>61</v>
      </c>
      <c r="G35" s="153" t="s">
        <v>61</v>
      </c>
      <c r="H35" s="153" t="s">
        <v>61</v>
      </c>
      <c r="I35" s="153" t="s">
        <v>61</v>
      </c>
      <c r="J35" s="178">
        <f>K35+L35</f>
        <v>1880</v>
      </c>
      <c r="K35" s="178">
        <v>1104</v>
      </c>
      <c r="L35" s="178">
        <v>776</v>
      </c>
      <c r="M35" s="153"/>
      <c r="N35" s="153"/>
      <c r="O35" s="153"/>
      <c r="Q35" s="166">
        <f>J35/C35/12</f>
        <v>19.579999999999998</v>
      </c>
    </row>
    <row r="36" spans="1:17" ht="2.25" customHeight="1" x14ac:dyDescent="0.25"/>
    <row r="37" spans="1:17" ht="33.75" customHeight="1" x14ac:dyDescent="0.25">
      <c r="A37" s="40" t="s">
        <v>62</v>
      </c>
      <c r="B37" s="574" t="s">
        <v>63</v>
      </c>
      <c r="C37" s="574"/>
      <c r="D37" s="574"/>
      <c r="E37" s="574"/>
      <c r="F37" s="574"/>
      <c r="G37" s="574"/>
      <c r="H37" s="574"/>
      <c r="I37" s="574"/>
      <c r="J37" s="574"/>
      <c r="K37" s="574"/>
      <c r="L37" s="574"/>
      <c r="M37" s="574"/>
      <c r="N37" s="574"/>
      <c r="O37" s="574"/>
    </row>
    <row r="38" spans="1:17" x14ac:dyDescent="0.25">
      <c r="A38" s="40" t="s">
        <v>64</v>
      </c>
      <c r="B38" s="40" t="s">
        <v>65</v>
      </c>
    </row>
    <row r="39" spans="1:17" ht="14.25" customHeight="1" x14ac:dyDescent="0.25">
      <c r="A39" s="40" t="s">
        <v>66</v>
      </c>
      <c r="B39" s="40" t="s">
        <v>67</v>
      </c>
    </row>
    <row r="40" spans="1:17" ht="3.75" hidden="1" customHeight="1" x14ac:dyDescent="0.25">
      <c r="A40" s="575"/>
      <c r="B40" s="575"/>
      <c r="C40" s="575"/>
      <c r="D40" s="575"/>
      <c r="E40" s="575"/>
      <c r="F40" s="575"/>
      <c r="G40" s="575"/>
      <c r="H40" s="575"/>
      <c r="I40" s="575"/>
      <c r="J40" s="575"/>
      <c r="K40" s="575"/>
    </row>
    <row r="41" spans="1:17" ht="19.5" customHeight="1" x14ac:dyDescent="0.25">
      <c r="A41" s="36" t="s">
        <v>29</v>
      </c>
      <c r="B41" s="14"/>
      <c r="C41" s="29"/>
      <c r="D41" s="35"/>
      <c r="E41" s="15"/>
      <c r="F41" s="15"/>
      <c r="G41" s="15"/>
      <c r="H41" s="15"/>
      <c r="I41" s="588" t="s">
        <v>392</v>
      </c>
      <c r="J41" s="588"/>
      <c r="K41" s="14"/>
      <c r="L41" s="14"/>
    </row>
    <row r="42" spans="1:17" x14ac:dyDescent="0.25">
      <c r="A42" s="37"/>
      <c r="B42" s="16" t="s">
        <v>30</v>
      </c>
      <c r="C42" s="518" t="s">
        <v>31</v>
      </c>
      <c r="D42" s="518"/>
      <c r="E42" s="16"/>
      <c r="F42" s="16"/>
      <c r="G42" s="16"/>
      <c r="H42" s="16"/>
      <c r="I42" s="522" t="s">
        <v>11</v>
      </c>
      <c r="J42" s="522"/>
      <c r="K42" s="16"/>
      <c r="L42" s="32"/>
    </row>
    <row r="43" spans="1:17" x14ac:dyDescent="0.25">
      <c r="A43" s="36" t="s">
        <v>96</v>
      </c>
      <c r="B43" s="14"/>
      <c r="C43" s="29"/>
      <c r="D43" s="35"/>
      <c r="E43" s="15"/>
      <c r="F43" s="15"/>
      <c r="G43" s="15"/>
      <c r="H43" s="15"/>
      <c r="I43" s="588" t="s">
        <v>331</v>
      </c>
      <c r="J43" s="588"/>
      <c r="K43" s="33"/>
      <c r="L43" s="33"/>
    </row>
    <row r="44" spans="1:17" ht="15.75" customHeight="1" x14ac:dyDescent="0.25">
      <c r="A44" s="31"/>
      <c r="B44" s="16"/>
      <c r="C44" s="521" t="s">
        <v>31</v>
      </c>
      <c r="D44" s="521"/>
      <c r="E44" s="16"/>
      <c r="F44" s="16"/>
      <c r="G44" s="16"/>
      <c r="H44" s="16"/>
      <c r="I44" s="522" t="s">
        <v>11</v>
      </c>
      <c r="J44" s="522"/>
      <c r="K44" s="32"/>
      <c r="L44" s="32"/>
    </row>
    <row r="45" spans="1:17" ht="6" hidden="1" customHeight="1" x14ac:dyDescent="0.25">
      <c r="A45" s="17"/>
      <c r="B45" s="14"/>
      <c r="C45" s="14"/>
      <c r="D45" s="14"/>
      <c r="E45" s="14"/>
      <c r="F45" s="14"/>
      <c r="G45" s="14"/>
      <c r="H45" s="14"/>
      <c r="I45" s="14"/>
      <c r="J45" s="14"/>
      <c r="K45" s="33"/>
      <c r="L45" s="33"/>
    </row>
    <row r="46" spans="1:17" ht="15" customHeight="1" x14ac:dyDescent="0.25">
      <c r="A46" s="17" t="s">
        <v>7</v>
      </c>
      <c r="B46" s="14"/>
      <c r="C46" s="14"/>
      <c r="D46" s="15"/>
      <c r="E46" s="15"/>
      <c r="F46" s="15"/>
      <c r="G46" s="15"/>
      <c r="H46" s="15"/>
      <c r="I46" s="14"/>
      <c r="J46" s="14"/>
      <c r="K46" s="18"/>
      <c r="L46" s="34"/>
    </row>
    <row r="47" spans="1:17" x14ac:dyDescent="0.25">
      <c r="A47" s="18" t="s">
        <v>32</v>
      </c>
      <c r="B47" s="18"/>
      <c r="C47" s="18"/>
      <c r="D47" s="588" t="s">
        <v>332</v>
      </c>
      <c r="E47" s="588"/>
      <c r="F47" s="588"/>
      <c r="G47" s="29"/>
      <c r="H47" s="29"/>
      <c r="I47" s="18"/>
      <c r="J47" s="588" t="s">
        <v>333</v>
      </c>
      <c r="K47" s="588"/>
      <c r="L47" s="588"/>
    </row>
    <row r="48" spans="1:17" ht="18.75" x14ac:dyDescent="0.3">
      <c r="A48" s="18"/>
      <c r="B48" s="14"/>
      <c r="C48" s="14"/>
      <c r="D48" s="522" t="s">
        <v>33</v>
      </c>
      <c r="E48" s="522"/>
      <c r="F48" s="522"/>
      <c r="G48" s="522"/>
      <c r="H48" s="522"/>
      <c r="I48" s="16"/>
      <c r="J48" s="522" t="s">
        <v>34</v>
      </c>
      <c r="K48" s="522"/>
      <c r="L48" s="522"/>
      <c r="O48" s="53" t="s">
        <v>231</v>
      </c>
    </row>
  </sheetData>
  <mergeCells count="26">
    <mergeCell ref="A4:E4"/>
    <mergeCell ref="A7:K7"/>
    <mergeCell ref="A8:A10"/>
    <mergeCell ref="B8:B10"/>
    <mergeCell ref="C8:C10"/>
    <mergeCell ref="D8:I8"/>
    <mergeCell ref="J8:L8"/>
    <mergeCell ref="M8:O8"/>
    <mergeCell ref="D9:D10"/>
    <mergeCell ref="E9:I9"/>
    <mergeCell ref="J9:J10"/>
    <mergeCell ref="K9:L9"/>
    <mergeCell ref="M9:M10"/>
    <mergeCell ref="N9:O9"/>
    <mergeCell ref="B37:O37"/>
    <mergeCell ref="A40:K40"/>
    <mergeCell ref="I41:J41"/>
    <mergeCell ref="C42:D42"/>
    <mergeCell ref="I42:J42"/>
    <mergeCell ref="D48:H48"/>
    <mergeCell ref="J48:L48"/>
    <mergeCell ref="I43:J43"/>
    <mergeCell ref="C44:D44"/>
    <mergeCell ref="I44:J44"/>
    <mergeCell ref="D47:F47"/>
    <mergeCell ref="J47:L47"/>
  </mergeCells>
  <printOptions horizontalCentered="1"/>
  <pageMargins left="0.11811023622047245" right="0.11811023622047245" top="0.19685039370078741" bottom="7.874015748031496E-2" header="0" footer="0"/>
  <pageSetup paperSize="9"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8"/>
  <sheetViews>
    <sheetView topLeftCell="A4" workbookViewId="0">
      <pane xSplit="3" ySplit="8" topLeftCell="D34" activePane="bottomRight" state="frozen"/>
      <selection activeCell="A4" sqref="A4"/>
      <selection pane="topRight" activeCell="D4" sqref="D4"/>
      <selection pane="bottomLeft" activeCell="A12" sqref="A12"/>
      <selection pane="bottomRight" activeCell="A4" sqref="A4:O49"/>
    </sheetView>
  </sheetViews>
  <sheetFormatPr defaultRowHeight="15.75" x14ac:dyDescent="0.25"/>
  <cols>
    <col min="1" max="1" width="8.42578125" style="40" customWidth="1"/>
    <col min="2" max="2" width="60.28515625" style="40" customWidth="1"/>
    <col min="3" max="3" width="13.85546875" style="1" customWidth="1"/>
    <col min="4" max="4" width="13.5703125" style="1" customWidth="1"/>
    <col min="5" max="6" width="11.7109375" style="1" customWidth="1"/>
    <col min="7" max="7" width="27" style="1" customWidth="1"/>
    <col min="8" max="8" width="14" style="1" customWidth="1"/>
    <col min="9" max="9" width="13.7109375" style="1" customWidth="1"/>
    <col min="10" max="10" width="14" style="1" customWidth="1"/>
    <col min="11" max="11" width="12.42578125" style="1" customWidth="1"/>
    <col min="12" max="12" width="19.42578125" style="1" customWidth="1"/>
    <col min="13" max="13" width="12.85546875" style="1" customWidth="1"/>
    <col min="14" max="14" width="11.7109375" style="1" customWidth="1"/>
    <col min="15" max="15" width="20" style="1" customWidth="1"/>
    <col min="16" max="16" width="9.140625" style="1"/>
    <col min="17" max="17" width="10.5703125" style="1" customWidth="1"/>
    <col min="18" max="16384" width="9.140625" style="1"/>
  </cols>
  <sheetData>
    <row r="1" spans="1:19" x14ac:dyDescent="0.25">
      <c r="O1" s="41" t="s">
        <v>44</v>
      </c>
    </row>
    <row r="2" spans="1:19" ht="1.5" customHeight="1" x14ac:dyDescent="0.25"/>
    <row r="3" spans="1:19" ht="1.5" customHeight="1" x14ac:dyDescent="0.25"/>
    <row r="4" spans="1:19" ht="23.25" customHeight="1" x14ac:dyDescent="0.25">
      <c r="A4" s="584" t="s">
        <v>327</v>
      </c>
      <c r="B4" s="584"/>
      <c r="C4" s="584"/>
      <c r="D4" s="584"/>
      <c r="E4" s="584"/>
    </row>
    <row r="5" spans="1:19" x14ac:dyDescent="0.25">
      <c r="A5" s="42"/>
      <c r="D5" s="1" t="s">
        <v>45</v>
      </c>
    </row>
    <row r="6" spans="1:19" ht="9.75" customHeight="1" x14ac:dyDescent="0.25">
      <c r="A6" s="43"/>
      <c r="B6" s="43"/>
      <c r="C6" s="44"/>
      <c r="D6" s="44"/>
      <c r="E6" s="44"/>
      <c r="F6" s="44"/>
      <c r="G6" s="44"/>
      <c r="H6" s="44"/>
      <c r="I6" s="44"/>
      <c r="J6" s="44"/>
      <c r="K6" s="44"/>
      <c r="L6" s="44"/>
    </row>
    <row r="7" spans="1:19" ht="18.75" customHeight="1" x14ac:dyDescent="0.25">
      <c r="A7" s="585" t="s">
        <v>337</v>
      </c>
      <c r="B7" s="585"/>
      <c r="C7" s="585"/>
      <c r="D7" s="585"/>
      <c r="E7" s="585"/>
      <c r="F7" s="585"/>
      <c r="G7" s="585"/>
      <c r="H7" s="585"/>
      <c r="I7" s="585"/>
      <c r="J7" s="585"/>
      <c r="K7" s="585"/>
      <c r="L7" s="45"/>
      <c r="M7" s="46"/>
      <c r="N7" s="46"/>
      <c r="O7" s="46"/>
      <c r="P7" s="46"/>
      <c r="Q7" s="46"/>
      <c r="R7" s="46"/>
      <c r="S7" s="46"/>
    </row>
    <row r="8" spans="1:19" s="47" customFormat="1" ht="33" customHeight="1" x14ac:dyDescent="0.2">
      <c r="A8" s="586"/>
      <c r="B8" s="579" t="s">
        <v>46</v>
      </c>
      <c r="C8" s="579" t="s">
        <v>47</v>
      </c>
      <c r="D8" s="581" t="s">
        <v>48</v>
      </c>
      <c r="E8" s="582"/>
      <c r="F8" s="582"/>
      <c r="G8" s="582"/>
      <c r="H8" s="582"/>
      <c r="I8" s="583"/>
      <c r="J8" s="576" t="s">
        <v>49</v>
      </c>
      <c r="K8" s="577"/>
      <c r="L8" s="578"/>
      <c r="M8" s="576" t="s">
        <v>50</v>
      </c>
      <c r="N8" s="577"/>
      <c r="O8" s="578"/>
    </row>
    <row r="9" spans="1:19" s="47" customFormat="1" ht="21" customHeight="1" x14ac:dyDescent="0.2">
      <c r="A9" s="586"/>
      <c r="B9" s="587"/>
      <c r="C9" s="587"/>
      <c r="D9" s="579" t="s">
        <v>51</v>
      </c>
      <c r="E9" s="581" t="s">
        <v>24</v>
      </c>
      <c r="F9" s="582"/>
      <c r="G9" s="582"/>
      <c r="H9" s="582"/>
      <c r="I9" s="583"/>
      <c r="J9" s="579" t="s">
        <v>51</v>
      </c>
      <c r="K9" s="581" t="s">
        <v>24</v>
      </c>
      <c r="L9" s="583"/>
      <c r="M9" s="579" t="s">
        <v>51</v>
      </c>
      <c r="N9" s="581" t="s">
        <v>24</v>
      </c>
      <c r="O9" s="583"/>
    </row>
    <row r="10" spans="1:19" s="47" customFormat="1" ht="66.75" customHeight="1" x14ac:dyDescent="0.2">
      <c r="A10" s="586"/>
      <c r="B10" s="580"/>
      <c r="C10" s="580"/>
      <c r="D10" s="580"/>
      <c r="E10" s="48" t="s">
        <v>52</v>
      </c>
      <c r="F10" s="48" t="s">
        <v>53</v>
      </c>
      <c r="G10" s="48" t="s">
        <v>54</v>
      </c>
      <c r="H10" s="48" t="s">
        <v>55</v>
      </c>
      <c r="I10" s="48" t="s">
        <v>56</v>
      </c>
      <c r="J10" s="580"/>
      <c r="K10" s="48" t="s">
        <v>52</v>
      </c>
      <c r="L10" s="48" t="s">
        <v>57</v>
      </c>
      <c r="M10" s="580"/>
      <c r="N10" s="48" t="s">
        <v>52</v>
      </c>
      <c r="O10" s="48" t="s">
        <v>57</v>
      </c>
    </row>
    <row r="11" spans="1:19" s="50" customFormat="1" ht="16.5" customHeight="1" x14ac:dyDescent="0.25">
      <c r="A11" s="19"/>
      <c r="B11" s="19" t="s">
        <v>58</v>
      </c>
      <c r="C11" s="49">
        <v>1</v>
      </c>
      <c r="D11" s="49">
        <v>2</v>
      </c>
      <c r="E11" s="49">
        <v>3</v>
      </c>
      <c r="F11" s="49">
        <v>4</v>
      </c>
      <c r="G11" s="49">
        <v>5</v>
      </c>
      <c r="H11" s="49">
        <v>6</v>
      </c>
      <c r="I11" s="49">
        <v>7</v>
      </c>
      <c r="J11" s="49">
        <v>8</v>
      </c>
      <c r="K11" s="49">
        <v>9</v>
      </c>
      <c r="L11" s="49">
        <v>10</v>
      </c>
      <c r="M11" s="49">
        <v>11</v>
      </c>
      <c r="N11" s="49">
        <v>12</v>
      </c>
      <c r="O11" s="49">
        <v>13</v>
      </c>
    </row>
    <row r="12" spans="1:19" ht="32.25" customHeight="1" x14ac:dyDescent="0.25">
      <c r="A12" s="128" t="s">
        <v>17</v>
      </c>
      <c r="B12" s="129" t="s">
        <v>85</v>
      </c>
      <c r="C12" s="163">
        <v>29</v>
      </c>
      <c r="D12" s="179" t="s">
        <v>61</v>
      </c>
      <c r="E12" s="179" t="s">
        <v>61</v>
      </c>
      <c r="F12" s="179" t="s">
        <v>61</v>
      </c>
      <c r="G12" s="179" t="s">
        <v>61</v>
      </c>
      <c r="H12" s="179" t="s">
        <v>61</v>
      </c>
      <c r="I12" s="179" t="s">
        <v>61</v>
      </c>
      <c r="J12" s="179" t="s">
        <v>61</v>
      </c>
      <c r="K12" s="179" t="s">
        <v>61</v>
      </c>
      <c r="L12" s="179" t="s">
        <v>61</v>
      </c>
      <c r="M12" s="179" t="s">
        <v>61</v>
      </c>
      <c r="N12" s="179" t="s">
        <v>61</v>
      </c>
      <c r="O12" s="179" t="s">
        <v>61</v>
      </c>
    </row>
    <row r="13" spans="1:19" ht="49.5" customHeight="1" x14ac:dyDescent="0.25">
      <c r="A13" s="19" t="s">
        <v>18</v>
      </c>
      <c r="B13" s="131" t="s">
        <v>329</v>
      </c>
      <c r="C13" s="132">
        <f t="shared" ref="C13:O13" si="0">C15+C29+C30+C31</f>
        <v>19</v>
      </c>
      <c r="D13" s="134">
        <f t="shared" si="0"/>
        <v>424.3</v>
      </c>
      <c r="E13" s="134">
        <f t="shared" si="0"/>
        <v>0</v>
      </c>
      <c r="F13" s="134">
        <f t="shared" si="0"/>
        <v>0</v>
      </c>
      <c r="G13" s="134">
        <f t="shared" si="0"/>
        <v>0</v>
      </c>
      <c r="H13" s="134">
        <f t="shared" si="0"/>
        <v>0</v>
      </c>
      <c r="I13" s="134">
        <f t="shared" si="0"/>
        <v>424.3</v>
      </c>
      <c r="J13" s="134">
        <f t="shared" si="0"/>
        <v>216</v>
      </c>
      <c r="K13" s="134">
        <f t="shared" si="0"/>
        <v>0</v>
      </c>
      <c r="L13" s="134">
        <f t="shared" si="0"/>
        <v>216</v>
      </c>
      <c r="M13" s="134">
        <f t="shared" si="0"/>
        <v>7980</v>
      </c>
      <c r="N13" s="134">
        <f t="shared" si="0"/>
        <v>2785.4</v>
      </c>
      <c r="O13" s="134">
        <f t="shared" si="0"/>
        <v>5194.6000000000004</v>
      </c>
    </row>
    <row r="14" spans="1:19" ht="33.75" customHeight="1" x14ac:dyDescent="0.25">
      <c r="A14" s="135" t="s">
        <v>16</v>
      </c>
      <c r="B14" s="136" t="s">
        <v>89</v>
      </c>
      <c r="C14" s="137">
        <f t="shared" ref="C14:O14" si="1">C16+C29+C30+C32</f>
        <v>19</v>
      </c>
      <c r="D14" s="139">
        <f t="shared" si="1"/>
        <v>424.3</v>
      </c>
      <c r="E14" s="139">
        <f t="shared" si="1"/>
        <v>0</v>
      </c>
      <c r="F14" s="139">
        <f t="shared" si="1"/>
        <v>0</v>
      </c>
      <c r="G14" s="139">
        <f t="shared" si="1"/>
        <v>0</v>
      </c>
      <c r="H14" s="139">
        <f t="shared" si="1"/>
        <v>0</v>
      </c>
      <c r="I14" s="139">
        <f t="shared" si="1"/>
        <v>424.3</v>
      </c>
      <c r="J14" s="139">
        <f t="shared" si="1"/>
        <v>216</v>
      </c>
      <c r="K14" s="139">
        <f t="shared" si="1"/>
        <v>0</v>
      </c>
      <c r="L14" s="139">
        <f t="shared" si="1"/>
        <v>216</v>
      </c>
      <c r="M14" s="139">
        <f t="shared" si="1"/>
        <v>7320</v>
      </c>
      <c r="N14" s="139">
        <f t="shared" si="1"/>
        <v>2785.4</v>
      </c>
      <c r="O14" s="139">
        <f t="shared" si="1"/>
        <v>4534.6000000000004</v>
      </c>
    </row>
    <row r="15" spans="1:19" ht="35.25" customHeight="1" x14ac:dyDescent="0.25">
      <c r="A15" s="140" t="s">
        <v>70</v>
      </c>
      <c r="B15" s="141" t="s">
        <v>87</v>
      </c>
      <c r="C15" s="132">
        <f t="shared" ref="C15:O16" si="2">C17+C19+C21+C23+C25+C27</f>
        <v>14</v>
      </c>
      <c r="D15" s="134">
        <f t="shared" si="2"/>
        <v>424.3</v>
      </c>
      <c r="E15" s="134">
        <f t="shared" si="2"/>
        <v>0</v>
      </c>
      <c r="F15" s="134">
        <f t="shared" si="2"/>
        <v>0</v>
      </c>
      <c r="G15" s="134">
        <f t="shared" si="2"/>
        <v>0</v>
      </c>
      <c r="H15" s="134">
        <f t="shared" si="2"/>
        <v>0</v>
      </c>
      <c r="I15" s="134">
        <f t="shared" si="2"/>
        <v>424.3</v>
      </c>
      <c r="J15" s="134">
        <f t="shared" si="2"/>
        <v>216</v>
      </c>
      <c r="K15" s="134">
        <f t="shared" si="2"/>
        <v>0</v>
      </c>
      <c r="L15" s="134">
        <f t="shared" si="2"/>
        <v>216</v>
      </c>
      <c r="M15" s="134">
        <f t="shared" si="2"/>
        <v>6750</v>
      </c>
      <c r="N15" s="134">
        <f t="shared" si="2"/>
        <v>2427.6</v>
      </c>
      <c r="O15" s="134">
        <f t="shared" si="2"/>
        <v>4322.3999999999996</v>
      </c>
    </row>
    <row r="16" spans="1:19" ht="33.75" customHeight="1" x14ac:dyDescent="0.25">
      <c r="A16" s="142"/>
      <c r="B16" s="143" t="s">
        <v>88</v>
      </c>
      <c r="C16" s="144">
        <f t="shared" si="2"/>
        <v>14</v>
      </c>
      <c r="D16" s="146">
        <f t="shared" si="2"/>
        <v>424.3</v>
      </c>
      <c r="E16" s="146">
        <f t="shared" si="2"/>
        <v>0</v>
      </c>
      <c r="F16" s="146">
        <f t="shared" si="2"/>
        <v>0</v>
      </c>
      <c r="G16" s="146">
        <f t="shared" si="2"/>
        <v>0</v>
      </c>
      <c r="H16" s="146">
        <f t="shared" si="2"/>
        <v>0</v>
      </c>
      <c r="I16" s="146">
        <f t="shared" si="2"/>
        <v>424.3</v>
      </c>
      <c r="J16" s="146">
        <f t="shared" si="2"/>
        <v>216</v>
      </c>
      <c r="K16" s="146">
        <f t="shared" si="2"/>
        <v>0</v>
      </c>
      <c r="L16" s="146">
        <f t="shared" si="2"/>
        <v>216</v>
      </c>
      <c r="M16" s="146">
        <f t="shared" si="2"/>
        <v>6420</v>
      </c>
      <c r="N16" s="146">
        <f t="shared" si="2"/>
        <v>2427.6</v>
      </c>
      <c r="O16" s="146">
        <f t="shared" si="2"/>
        <v>3992.4</v>
      </c>
    </row>
    <row r="17" spans="1:17" ht="35.25" customHeight="1" x14ac:dyDescent="0.25">
      <c r="A17" s="13" t="s">
        <v>71</v>
      </c>
      <c r="B17" s="52" t="s">
        <v>59</v>
      </c>
      <c r="C17" s="149"/>
      <c r="D17" s="152">
        <f t="shared" ref="D17:D32" si="3">SUM(E17:I17)</f>
        <v>0</v>
      </c>
      <c r="E17" s="151"/>
      <c r="F17" s="151"/>
      <c r="G17" s="151"/>
      <c r="H17" s="151"/>
      <c r="I17" s="151"/>
      <c r="J17" s="152">
        <f t="shared" ref="J17:J32" si="4">K17+L17</f>
        <v>0</v>
      </c>
      <c r="K17" s="151"/>
      <c r="L17" s="151"/>
      <c r="M17" s="152">
        <f t="shared" ref="M17:M32" si="5">N17+O17</f>
        <v>0</v>
      </c>
      <c r="N17" s="153"/>
      <c r="O17" s="153"/>
    </row>
    <row r="18" spans="1:17" ht="35.25" customHeight="1" x14ac:dyDescent="0.25">
      <c r="A18" s="142"/>
      <c r="B18" s="143" t="s">
        <v>88</v>
      </c>
      <c r="C18" s="155"/>
      <c r="D18" s="146">
        <f t="shared" si="3"/>
        <v>0</v>
      </c>
      <c r="E18" s="156"/>
      <c r="F18" s="156"/>
      <c r="G18" s="156"/>
      <c r="H18" s="156"/>
      <c r="I18" s="156"/>
      <c r="J18" s="146">
        <f t="shared" si="4"/>
        <v>0</v>
      </c>
      <c r="K18" s="156"/>
      <c r="L18" s="156"/>
      <c r="M18" s="146">
        <f t="shared" si="5"/>
        <v>0</v>
      </c>
      <c r="N18" s="157"/>
      <c r="O18" s="157"/>
    </row>
    <row r="19" spans="1:17" ht="24.75" customHeight="1" x14ac:dyDescent="0.25">
      <c r="A19" s="13" t="s">
        <v>72</v>
      </c>
      <c r="B19" s="52" t="s">
        <v>80</v>
      </c>
      <c r="C19" s="149">
        <v>14</v>
      </c>
      <c r="D19" s="152">
        <f t="shared" si="3"/>
        <v>424.3</v>
      </c>
      <c r="E19" s="151"/>
      <c r="F19" s="151"/>
      <c r="G19" s="151"/>
      <c r="H19" s="151"/>
      <c r="I19" s="153">
        <v>424.3</v>
      </c>
      <c r="J19" s="152">
        <f t="shared" si="4"/>
        <v>216</v>
      </c>
      <c r="K19" s="151"/>
      <c r="L19" s="153">
        <v>216</v>
      </c>
      <c r="M19" s="152">
        <f t="shared" si="5"/>
        <v>6750</v>
      </c>
      <c r="N19" s="153">
        <f>(4*14161*12+14450*9*12+15606*12)/1000</f>
        <v>2427.6</v>
      </c>
      <c r="O19" s="153">
        <f>3992.4+330</f>
        <v>4322.3999999999996</v>
      </c>
      <c r="Q19" s="166">
        <f>(D19+J19+M19)/C19/12*1000</f>
        <v>43989.88</v>
      </c>
    </row>
    <row r="20" spans="1:17" ht="31.5" x14ac:dyDescent="0.25">
      <c r="A20" s="142"/>
      <c r="B20" s="143" t="s">
        <v>88</v>
      </c>
      <c r="C20" s="155">
        <v>14</v>
      </c>
      <c r="D20" s="146">
        <f t="shared" si="3"/>
        <v>424.3</v>
      </c>
      <c r="E20" s="156"/>
      <c r="F20" s="156"/>
      <c r="G20" s="156"/>
      <c r="H20" s="156"/>
      <c r="I20" s="157">
        <v>424.3</v>
      </c>
      <c r="J20" s="146">
        <f t="shared" si="4"/>
        <v>216</v>
      </c>
      <c r="K20" s="156"/>
      <c r="L20" s="157">
        <v>216</v>
      </c>
      <c r="M20" s="146">
        <f t="shared" si="5"/>
        <v>6420</v>
      </c>
      <c r="N20" s="157">
        <v>2427.6</v>
      </c>
      <c r="O20" s="157">
        <v>3992.4</v>
      </c>
      <c r="Q20" s="166">
        <f>(D20+J20+M20)/C20/12*1000</f>
        <v>42025.599999999999</v>
      </c>
    </row>
    <row r="21" spans="1:17" ht="24.75" customHeight="1" x14ac:dyDescent="0.25">
      <c r="A21" s="13" t="s">
        <v>73</v>
      </c>
      <c r="B21" s="52" t="s">
        <v>60</v>
      </c>
      <c r="C21" s="149"/>
      <c r="D21" s="152">
        <f t="shared" si="3"/>
        <v>0</v>
      </c>
      <c r="E21" s="151"/>
      <c r="F21" s="151"/>
      <c r="G21" s="151"/>
      <c r="H21" s="151"/>
      <c r="I21" s="151"/>
      <c r="J21" s="152">
        <f t="shared" si="4"/>
        <v>0</v>
      </c>
      <c r="K21" s="151"/>
      <c r="L21" s="151"/>
      <c r="M21" s="152">
        <f t="shared" si="5"/>
        <v>0</v>
      </c>
      <c r="N21" s="153"/>
      <c r="O21" s="153"/>
    </row>
    <row r="22" spans="1:17" ht="31.5" x14ac:dyDescent="0.25">
      <c r="A22" s="142"/>
      <c r="B22" s="143" t="s">
        <v>88</v>
      </c>
      <c r="C22" s="155"/>
      <c r="D22" s="146">
        <f t="shared" si="3"/>
        <v>0</v>
      </c>
      <c r="E22" s="156"/>
      <c r="F22" s="156"/>
      <c r="G22" s="156"/>
      <c r="H22" s="156"/>
      <c r="I22" s="156"/>
      <c r="J22" s="146">
        <f t="shared" si="4"/>
        <v>0</v>
      </c>
      <c r="K22" s="156"/>
      <c r="L22" s="156"/>
      <c r="M22" s="146">
        <f t="shared" si="5"/>
        <v>0</v>
      </c>
      <c r="N22" s="157"/>
      <c r="O22" s="157"/>
    </row>
    <row r="23" spans="1:17" ht="27" customHeight="1" x14ac:dyDescent="0.25">
      <c r="A23" s="13" t="s">
        <v>74</v>
      </c>
      <c r="B23" s="52" t="s">
        <v>94</v>
      </c>
      <c r="C23" s="149"/>
      <c r="D23" s="152">
        <f t="shared" si="3"/>
        <v>0</v>
      </c>
      <c r="E23" s="151"/>
      <c r="F23" s="151"/>
      <c r="G23" s="151"/>
      <c r="H23" s="151"/>
      <c r="I23" s="151"/>
      <c r="J23" s="152">
        <f t="shared" si="4"/>
        <v>0</v>
      </c>
      <c r="K23" s="151"/>
      <c r="L23" s="151"/>
      <c r="M23" s="152">
        <f t="shared" si="5"/>
        <v>0</v>
      </c>
      <c r="N23" s="153"/>
      <c r="O23" s="153"/>
    </row>
    <row r="24" spans="1:17" ht="31.5" x14ac:dyDescent="0.25">
      <c r="A24" s="142"/>
      <c r="B24" s="143" t="s">
        <v>88</v>
      </c>
      <c r="C24" s="155"/>
      <c r="D24" s="146">
        <f t="shared" si="3"/>
        <v>0</v>
      </c>
      <c r="E24" s="156"/>
      <c r="F24" s="156"/>
      <c r="G24" s="156"/>
      <c r="H24" s="156"/>
      <c r="I24" s="156"/>
      <c r="J24" s="146">
        <f t="shared" si="4"/>
        <v>0</v>
      </c>
      <c r="K24" s="156"/>
      <c r="L24" s="156"/>
      <c r="M24" s="146">
        <f t="shared" si="5"/>
        <v>0</v>
      </c>
      <c r="N24" s="157"/>
      <c r="O24" s="157"/>
    </row>
    <row r="25" spans="1:17" ht="27.75" customHeight="1" x14ac:dyDescent="0.25">
      <c r="A25" s="13" t="s">
        <v>75</v>
      </c>
      <c r="B25" s="52" t="s">
        <v>93</v>
      </c>
      <c r="C25" s="149"/>
      <c r="D25" s="152">
        <f t="shared" si="3"/>
        <v>0</v>
      </c>
      <c r="E25" s="151"/>
      <c r="F25" s="151"/>
      <c r="G25" s="151"/>
      <c r="H25" s="151"/>
      <c r="I25" s="151"/>
      <c r="J25" s="152">
        <f t="shared" si="4"/>
        <v>0</v>
      </c>
      <c r="K25" s="151"/>
      <c r="L25" s="151"/>
      <c r="M25" s="152">
        <f t="shared" si="5"/>
        <v>0</v>
      </c>
      <c r="N25" s="153"/>
      <c r="O25" s="153"/>
    </row>
    <row r="26" spans="1:17" ht="31.5" x14ac:dyDescent="0.25">
      <c r="A26" s="142"/>
      <c r="B26" s="143" t="s">
        <v>88</v>
      </c>
      <c r="C26" s="155"/>
      <c r="D26" s="146">
        <f t="shared" si="3"/>
        <v>0</v>
      </c>
      <c r="E26" s="156"/>
      <c r="F26" s="156"/>
      <c r="G26" s="156"/>
      <c r="H26" s="156"/>
      <c r="I26" s="156"/>
      <c r="J26" s="146">
        <f t="shared" si="4"/>
        <v>0</v>
      </c>
      <c r="K26" s="156"/>
      <c r="L26" s="156"/>
      <c r="M26" s="146">
        <f t="shared" si="5"/>
        <v>0</v>
      </c>
      <c r="N26" s="157"/>
      <c r="O26" s="157"/>
    </row>
    <row r="27" spans="1:17" ht="29.25" customHeight="1" x14ac:dyDescent="0.25">
      <c r="A27" s="13" t="s">
        <v>76</v>
      </c>
      <c r="B27" s="52" t="s">
        <v>81</v>
      </c>
      <c r="C27" s="162"/>
      <c r="D27" s="150">
        <f t="shared" si="3"/>
        <v>0</v>
      </c>
      <c r="E27" s="180"/>
      <c r="F27" s="180"/>
      <c r="G27" s="180"/>
      <c r="H27" s="180"/>
      <c r="I27" s="180"/>
      <c r="J27" s="152">
        <f t="shared" si="4"/>
        <v>0</v>
      </c>
      <c r="K27" s="180"/>
      <c r="L27" s="180"/>
      <c r="M27" s="152">
        <f t="shared" si="5"/>
        <v>0</v>
      </c>
      <c r="N27" s="160"/>
      <c r="O27" s="160"/>
    </row>
    <row r="28" spans="1:17" ht="31.5" x14ac:dyDescent="0.25">
      <c r="A28" s="142"/>
      <c r="B28" s="143" t="s">
        <v>88</v>
      </c>
      <c r="C28" s="161"/>
      <c r="D28" s="145">
        <f t="shared" si="3"/>
        <v>0</v>
      </c>
      <c r="E28" s="181"/>
      <c r="F28" s="181"/>
      <c r="G28" s="181"/>
      <c r="H28" s="181"/>
      <c r="I28" s="181"/>
      <c r="J28" s="146">
        <f t="shared" si="4"/>
        <v>0</v>
      </c>
      <c r="K28" s="181"/>
      <c r="L28" s="181"/>
      <c r="M28" s="146">
        <f t="shared" si="5"/>
        <v>0</v>
      </c>
      <c r="N28" s="182"/>
      <c r="O28" s="182"/>
    </row>
    <row r="29" spans="1:17" ht="30.75" customHeight="1" x14ac:dyDescent="0.25">
      <c r="A29" s="142" t="s">
        <v>77</v>
      </c>
      <c r="B29" s="143" t="s">
        <v>82</v>
      </c>
      <c r="C29" s="161"/>
      <c r="D29" s="145">
        <f t="shared" si="3"/>
        <v>0</v>
      </c>
      <c r="E29" s="181"/>
      <c r="F29" s="181"/>
      <c r="G29" s="181"/>
      <c r="H29" s="181"/>
      <c r="I29" s="181"/>
      <c r="J29" s="146">
        <f t="shared" si="4"/>
        <v>0</v>
      </c>
      <c r="K29" s="181"/>
      <c r="L29" s="181"/>
      <c r="M29" s="146">
        <f t="shared" si="5"/>
        <v>0</v>
      </c>
      <c r="N29" s="182"/>
      <c r="O29" s="182"/>
    </row>
    <row r="30" spans="1:17" ht="33.75" customHeight="1" x14ac:dyDescent="0.25">
      <c r="A30" s="142" t="s">
        <v>78</v>
      </c>
      <c r="B30" s="143" t="s">
        <v>83</v>
      </c>
      <c r="C30" s="161"/>
      <c r="D30" s="145">
        <f t="shared" si="3"/>
        <v>0</v>
      </c>
      <c r="E30" s="181"/>
      <c r="F30" s="181"/>
      <c r="G30" s="181"/>
      <c r="H30" s="181"/>
      <c r="I30" s="181"/>
      <c r="J30" s="146">
        <f t="shared" si="4"/>
        <v>0</v>
      </c>
      <c r="K30" s="181"/>
      <c r="L30" s="181"/>
      <c r="M30" s="146">
        <f t="shared" si="5"/>
        <v>0</v>
      </c>
      <c r="N30" s="182"/>
      <c r="O30" s="182"/>
    </row>
    <row r="31" spans="1:17" ht="27" customHeight="1" x14ac:dyDescent="0.25">
      <c r="A31" s="13" t="s">
        <v>79</v>
      </c>
      <c r="B31" s="51" t="s">
        <v>84</v>
      </c>
      <c r="C31" s="159">
        <v>5</v>
      </c>
      <c r="D31" s="150">
        <f t="shared" si="3"/>
        <v>0</v>
      </c>
      <c r="E31" s="160"/>
      <c r="F31" s="180"/>
      <c r="G31" s="180"/>
      <c r="H31" s="180"/>
      <c r="I31" s="180"/>
      <c r="J31" s="152">
        <f t="shared" si="4"/>
        <v>0</v>
      </c>
      <c r="K31" s="180"/>
      <c r="L31" s="180"/>
      <c r="M31" s="152">
        <f t="shared" si="5"/>
        <v>1230</v>
      </c>
      <c r="N31" s="153">
        <f>6*4970*12/1000</f>
        <v>357.8</v>
      </c>
      <c r="O31" s="160">
        <f>542.2+330</f>
        <v>872.2</v>
      </c>
      <c r="Q31" s="166">
        <f>(D31+J31+M31)/C31/12*1000</f>
        <v>20500</v>
      </c>
    </row>
    <row r="32" spans="1:17" ht="31.5" x14ac:dyDescent="0.25">
      <c r="A32" s="142"/>
      <c r="B32" s="143" t="s">
        <v>88</v>
      </c>
      <c r="C32" s="155">
        <v>5</v>
      </c>
      <c r="D32" s="145">
        <f t="shared" si="3"/>
        <v>0</v>
      </c>
      <c r="E32" s="182"/>
      <c r="F32" s="181"/>
      <c r="G32" s="181"/>
      <c r="H32" s="181"/>
      <c r="I32" s="181"/>
      <c r="J32" s="146">
        <f t="shared" si="4"/>
        <v>0</v>
      </c>
      <c r="K32" s="181"/>
      <c r="L32" s="181"/>
      <c r="M32" s="146">
        <f t="shared" si="5"/>
        <v>900</v>
      </c>
      <c r="N32" s="182">
        <v>357.8</v>
      </c>
      <c r="O32" s="182">
        <v>542.20000000000005</v>
      </c>
      <c r="Q32" s="166">
        <f>(D32+J32+M32)/C32/12*1000</f>
        <v>15000</v>
      </c>
    </row>
    <row r="33" spans="1:15" ht="28.5" customHeight="1" x14ac:dyDescent="0.25">
      <c r="A33" s="13" t="s">
        <v>19</v>
      </c>
      <c r="B33" s="51" t="s">
        <v>92</v>
      </c>
      <c r="C33" s="150">
        <f t="shared" ref="C33:O33" si="6">C13-C14</f>
        <v>0</v>
      </c>
      <c r="D33" s="150">
        <f t="shared" si="6"/>
        <v>0</v>
      </c>
      <c r="E33" s="150">
        <f t="shared" si="6"/>
        <v>0</v>
      </c>
      <c r="F33" s="150">
        <f t="shared" si="6"/>
        <v>0</v>
      </c>
      <c r="G33" s="150">
        <f t="shared" si="6"/>
        <v>0</v>
      </c>
      <c r="H33" s="150">
        <f t="shared" si="6"/>
        <v>0</v>
      </c>
      <c r="I33" s="150">
        <f t="shared" si="6"/>
        <v>0</v>
      </c>
      <c r="J33" s="150">
        <f t="shared" si="6"/>
        <v>0</v>
      </c>
      <c r="K33" s="150">
        <f t="shared" si="6"/>
        <v>0</v>
      </c>
      <c r="L33" s="150">
        <f t="shared" si="6"/>
        <v>0</v>
      </c>
      <c r="M33" s="150">
        <f t="shared" si="6"/>
        <v>660</v>
      </c>
      <c r="N33" s="150">
        <f t="shared" si="6"/>
        <v>0</v>
      </c>
      <c r="O33" s="150">
        <f t="shared" si="6"/>
        <v>660</v>
      </c>
    </row>
    <row r="34" spans="1:15" ht="62.25" customHeight="1" x14ac:dyDescent="0.25">
      <c r="A34" s="13" t="s">
        <v>20</v>
      </c>
      <c r="B34" s="51" t="s">
        <v>91</v>
      </c>
      <c r="C34" s="160"/>
      <c r="D34" s="160"/>
      <c r="E34" s="160"/>
      <c r="F34" s="160"/>
      <c r="G34" s="160"/>
      <c r="H34" s="160"/>
      <c r="I34" s="160"/>
      <c r="J34" s="160"/>
      <c r="K34" s="160"/>
      <c r="L34" s="160"/>
      <c r="M34" s="160" t="s">
        <v>61</v>
      </c>
      <c r="N34" s="160" t="s">
        <v>61</v>
      </c>
      <c r="O34" s="160" t="s">
        <v>61</v>
      </c>
    </row>
    <row r="35" spans="1:15" ht="47.25" x14ac:dyDescent="0.25">
      <c r="A35" s="13" t="s">
        <v>21</v>
      </c>
      <c r="B35" s="51" t="s">
        <v>90</v>
      </c>
      <c r="C35" s="160"/>
      <c r="D35" s="160" t="s">
        <v>61</v>
      </c>
      <c r="E35" s="160" t="s">
        <v>61</v>
      </c>
      <c r="F35" s="160" t="s">
        <v>61</v>
      </c>
      <c r="G35" s="160" t="s">
        <v>61</v>
      </c>
      <c r="H35" s="160" t="s">
        <v>61</v>
      </c>
      <c r="I35" s="160" t="s">
        <v>61</v>
      </c>
      <c r="J35" s="160"/>
      <c r="K35" s="160"/>
      <c r="L35" s="160"/>
      <c r="M35" s="160"/>
      <c r="N35" s="160"/>
      <c r="O35" s="160"/>
    </row>
    <row r="36" spans="1:15" ht="2.25" customHeight="1" x14ac:dyDescent="0.25"/>
    <row r="37" spans="1:15" ht="33.75" customHeight="1" x14ac:dyDescent="0.25">
      <c r="A37" s="40" t="s">
        <v>62</v>
      </c>
      <c r="B37" s="574" t="s">
        <v>63</v>
      </c>
      <c r="C37" s="574"/>
      <c r="D37" s="574"/>
      <c r="E37" s="574"/>
      <c r="F37" s="574"/>
      <c r="G37" s="574"/>
      <c r="H37" s="574"/>
      <c r="I37" s="574"/>
      <c r="J37" s="574"/>
      <c r="K37" s="574"/>
      <c r="L37" s="574"/>
      <c r="M37" s="574"/>
      <c r="N37" s="574"/>
      <c r="O37" s="574"/>
    </row>
    <row r="38" spans="1:15" x14ac:dyDescent="0.25">
      <c r="A38" s="40" t="s">
        <v>64</v>
      </c>
      <c r="B38" s="40" t="s">
        <v>65</v>
      </c>
    </row>
    <row r="39" spans="1:15" ht="14.25" customHeight="1" x14ac:dyDescent="0.25">
      <c r="A39" s="40" t="s">
        <v>66</v>
      </c>
      <c r="B39" s="40" t="s">
        <v>67</v>
      </c>
    </row>
    <row r="40" spans="1:15" ht="3.75" hidden="1" customHeight="1" x14ac:dyDescent="0.25">
      <c r="A40" s="575"/>
      <c r="B40" s="575"/>
      <c r="C40" s="575"/>
      <c r="D40" s="575"/>
      <c r="E40" s="575"/>
      <c r="F40" s="575"/>
      <c r="G40" s="575"/>
      <c r="H40" s="575"/>
      <c r="I40" s="575"/>
      <c r="J40" s="575"/>
      <c r="K40" s="575"/>
    </row>
    <row r="41" spans="1:15" ht="19.5" customHeight="1" x14ac:dyDescent="0.25">
      <c r="A41" s="36" t="s">
        <v>29</v>
      </c>
      <c r="B41" s="14"/>
      <c r="C41" s="29"/>
      <c r="D41" s="35"/>
      <c r="E41" s="15"/>
      <c r="F41" s="15"/>
      <c r="G41" s="15"/>
      <c r="H41" s="15"/>
      <c r="I41" s="588" t="s">
        <v>330</v>
      </c>
      <c r="J41" s="588"/>
      <c r="K41" s="14"/>
      <c r="L41" s="14"/>
    </row>
    <row r="42" spans="1:15" x14ac:dyDescent="0.25">
      <c r="A42" s="37"/>
      <c r="B42" s="16" t="s">
        <v>30</v>
      </c>
      <c r="C42" s="518" t="s">
        <v>31</v>
      </c>
      <c r="D42" s="518"/>
      <c r="E42" s="16"/>
      <c r="F42" s="16"/>
      <c r="G42" s="16"/>
      <c r="H42" s="16"/>
      <c r="I42" s="522" t="s">
        <v>11</v>
      </c>
      <c r="J42" s="522"/>
      <c r="K42" s="16"/>
      <c r="L42" s="32"/>
    </row>
    <row r="43" spans="1:15" x14ac:dyDescent="0.25">
      <c r="A43" s="36" t="s">
        <v>96</v>
      </c>
      <c r="B43" s="14"/>
      <c r="C43" s="29"/>
      <c r="D43" s="35"/>
      <c r="E43" s="15"/>
      <c r="F43" s="15"/>
      <c r="G43" s="15"/>
      <c r="H43" s="15"/>
      <c r="I43" s="588" t="s">
        <v>331</v>
      </c>
      <c r="J43" s="588"/>
      <c r="K43" s="33"/>
      <c r="L43" s="33"/>
    </row>
    <row r="44" spans="1:15" ht="15.75" customHeight="1" x14ac:dyDescent="0.25">
      <c r="A44" s="31"/>
      <c r="B44" s="16"/>
      <c r="C44" s="521" t="s">
        <v>31</v>
      </c>
      <c r="D44" s="521"/>
      <c r="E44" s="16"/>
      <c r="F44" s="16"/>
      <c r="G44" s="16"/>
      <c r="H44" s="16"/>
      <c r="I44" s="522" t="s">
        <v>11</v>
      </c>
      <c r="J44" s="522"/>
      <c r="K44" s="32"/>
      <c r="L44" s="32"/>
    </row>
    <row r="45" spans="1:15" ht="6" hidden="1" customHeight="1" x14ac:dyDescent="0.25">
      <c r="A45" s="17"/>
      <c r="B45" s="14"/>
      <c r="C45" s="14"/>
      <c r="D45" s="14"/>
      <c r="E45" s="14"/>
      <c r="F45" s="14"/>
      <c r="G45" s="14"/>
      <c r="H45" s="14"/>
      <c r="I45" s="14"/>
      <c r="J45" s="14"/>
      <c r="K45" s="33"/>
      <c r="L45" s="33"/>
    </row>
    <row r="46" spans="1:15" ht="15" customHeight="1" x14ac:dyDescent="0.25">
      <c r="A46" s="17" t="s">
        <v>7</v>
      </c>
      <c r="B46" s="14"/>
      <c r="C46" s="14"/>
      <c r="D46" s="15"/>
      <c r="E46" s="15"/>
      <c r="F46" s="15"/>
      <c r="G46" s="15"/>
      <c r="H46" s="15"/>
      <c r="I46" s="14"/>
      <c r="J46" s="14"/>
      <c r="K46" s="18"/>
      <c r="L46" s="34"/>
    </row>
    <row r="47" spans="1:15" x14ac:dyDescent="0.25">
      <c r="A47" s="18" t="s">
        <v>32</v>
      </c>
      <c r="B47" s="18"/>
      <c r="C47" s="18"/>
      <c r="D47" s="588" t="s">
        <v>332</v>
      </c>
      <c r="E47" s="588"/>
      <c r="F47" s="588"/>
      <c r="G47" s="29"/>
      <c r="H47" s="29"/>
      <c r="I47" s="18"/>
      <c r="J47" s="588" t="s">
        <v>333</v>
      </c>
      <c r="K47" s="588"/>
      <c r="L47" s="588"/>
    </row>
    <row r="48" spans="1:15" ht="18.75" x14ac:dyDescent="0.3">
      <c r="A48" s="18"/>
      <c r="B48" s="14"/>
      <c r="C48" s="14"/>
      <c r="D48" s="522" t="s">
        <v>33</v>
      </c>
      <c r="E48" s="522"/>
      <c r="F48" s="522"/>
      <c r="G48" s="522"/>
      <c r="H48" s="522"/>
      <c r="I48" s="16"/>
      <c r="J48" s="522" t="s">
        <v>34</v>
      </c>
      <c r="K48" s="522"/>
      <c r="L48" s="522"/>
      <c r="O48" s="53" t="s">
        <v>231</v>
      </c>
    </row>
  </sheetData>
  <mergeCells count="26">
    <mergeCell ref="A4:E4"/>
    <mergeCell ref="A7:K7"/>
    <mergeCell ref="A8:A10"/>
    <mergeCell ref="B8:B10"/>
    <mergeCell ref="C8:C10"/>
    <mergeCell ref="D8:I8"/>
    <mergeCell ref="J8:L8"/>
    <mergeCell ref="M8:O8"/>
    <mergeCell ref="D9:D10"/>
    <mergeCell ref="E9:I9"/>
    <mergeCell ref="J9:J10"/>
    <mergeCell ref="K9:L9"/>
    <mergeCell ref="M9:M10"/>
    <mergeCell ref="N9:O9"/>
    <mergeCell ref="B37:O37"/>
    <mergeCell ref="A40:K40"/>
    <mergeCell ref="I41:J41"/>
    <mergeCell ref="C42:D42"/>
    <mergeCell ref="I42:J42"/>
    <mergeCell ref="D48:H48"/>
    <mergeCell ref="J48:L48"/>
    <mergeCell ref="I43:J43"/>
    <mergeCell ref="C44:D44"/>
    <mergeCell ref="I44:J44"/>
    <mergeCell ref="D47:F47"/>
    <mergeCell ref="J47:L47"/>
  </mergeCells>
  <printOptions horizontalCentered="1"/>
  <pageMargins left="0.11811023622047245" right="0.11811023622047245" top="0.11811023622047245" bottom="0.27559055118110237" header="0" footer="0"/>
  <pageSetup paperSize="9" scale="4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2"/>
  <sheetViews>
    <sheetView zoomScale="110" zoomScaleNormal="110" workbookViewId="0">
      <pane xSplit="6" ySplit="8" topLeftCell="AF105" activePane="bottomRight" state="frozen"/>
      <selection pane="topRight" activeCell="G1" sqref="G1"/>
      <selection pane="bottomLeft" activeCell="A9" sqref="A9"/>
      <selection pane="bottomRight" activeCell="AL11" sqref="AL11"/>
    </sheetView>
  </sheetViews>
  <sheetFormatPr defaultRowHeight="12.75" x14ac:dyDescent="0.2"/>
  <cols>
    <col min="7" max="9" width="19.7109375" customWidth="1"/>
    <col min="16" max="18" width="15.5703125" customWidth="1"/>
    <col min="25" max="27" width="14.140625" customWidth="1"/>
    <col min="31" max="31" width="11.5703125" customWidth="1"/>
    <col min="34" max="36" width="15.140625" customWidth="1"/>
    <col min="37" max="37" width="18.42578125" customWidth="1"/>
    <col min="38" max="38" width="15.42578125" customWidth="1"/>
    <col min="39" max="39" width="12.42578125" customWidth="1"/>
    <col min="41" max="41" width="9.140625" customWidth="1"/>
  </cols>
  <sheetData>
    <row r="1" spans="1:39" ht="13.5" thickBot="1" x14ac:dyDescent="0.25">
      <c r="A1" t="s">
        <v>371</v>
      </c>
      <c r="J1" s="203" t="s">
        <v>368</v>
      </c>
      <c r="S1" t="s">
        <v>372</v>
      </c>
      <c r="AB1" t="s">
        <v>373</v>
      </c>
    </row>
    <row r="2" spans="1:39" ht="12.75" customHeight="1" x14ac:dyDescent="0.2">
      <c r="A2" s="475" t="s">
        <v>2</v>
      </c>
      <c r="B2" s="476"/>
      <c r="C2" s="476"/>
      <c r="D2" s="477"/>
      <c r="E2" s="533" t="s">
        <v>27</v>
      </c>
      <c r="F2" s="533" t="s">
        <v>104</v>
      </c>
      <c r="J2" s="475" t="s">
        <v>2</v>
      </c>
      <c r="K2" s="476"/>
      <c r="L2" s="476"/>
      <c r="M2" s="477"/>
      <c r="N2" s="533" t="s">
        <v>27</v>
      </c>
      <c r="O2" s="533" t="s">
        <v>104</v>
      </c>
      <c r="S2" s="475" t="s">
        <v>2</v>
      </c>
      <c r="T2" s="476"/>
      <c r="U2" s="476"/>
      <c r="V2" s="477"/>
      <c r="W2" s="533" t="s">
        <v>27</v>
      </c>
      <c r="X2" s="533" t="s">
        <v>104</v>
      </c>
      <c r="AB2" s="475" t="s">
        <v>2</v>
      </c>
      <c r="AC2" s="476"/>
      <c r="AD2" s="476"/>
      <c r="AE2" s="477"/>
      <c r="AF2" s="533" t="s">
        <v>27</v>
      </c>
      <c r="AG2" s="533" t="s">
        <v>104</v>
      </c>
    </row>
    <row r="3" spans="1:39" ht="12.75" customHeight="1" x14ac:dyDescent="0.2">
      <c r="A3" s="478"/>
      <c r="B3" s="479"/>
      <c r="C3" s="479"/>
      <c r="D3" s="480"/>
      <c r="E3" s="534"/>
      <c r="F3" s="534"/>
      <c r="J3" s="478"/>
      <c r="K3" s="479"/>
      <c r="L3" s="479"/>
      <c r="M3" s="480"/>
      <c r="N3" s="534"/>
      <c r="O3" s="534"/>
      <c r="S3" s="478"/>
      <c r="T3" s="479"/>
      <c r="U3" s="479"/>
      <c r="V3" s="480"/>
      <c r="W3" s="534"/>
      <c r="X3" s="534"/>
      <c r="AB3" s="478"/>
      <c r="AC3" s="479"/>
      <c r="AD3" s="479"/>
      <c r="AE3" s="480"/>
      <c r="AF3" s="534"/>
      <c r="AG3" s="534"/>
    </row>
    <row r="4" spans="1:39" ht="12.75" customHeight="1" x14ac:dyDescent="0.2">
      <c r="A4" s="478"/>
      <c r="B4" s="479"/>
      <c r="C4" s="479"/>
      <c r="D4" s="480"/>
      <c r="E4" s="534"/>
      <c r="F4" s="534"/>
      <c r="J4" s="478"/>
      <c r="K4" s="479"/>
      <c r="L4" s="479"/>
      <c r="M4" s="480"/>
      <c r="N4" s="534"/>
      <c r="O4" s="534"/>
      <c r="S4" s="478"/>
      <c r="T4" s="479"/>
      <c r="U4" s="479"/>
      <c r="V4" s="480"/>
      <c r="W4" s="534"/>
      <c r="X4" s="534"/>
      <c r="AB4" s="478"/>
      <c r="AC4" s="479"/>
      <c r="AD4" s="479"/>
      <c r="AE4" s="480"/>
      <c r="AF4" s="534"/>
      <c r="AG4" s="534"/>
    </row>
    <row r="5" spans="1:39" ht="12.75" customHeight="1" x14ac:dyDescent="0.2">
      <c r="A5" s="478"/>
      <c r="B5" s="479"/>
      <c r="C5" s="479"/>
      <c r="D5" s="480"/>
      <c r="E5" s="534"/>
      <c r="F5" s="534"/>
      <c r="J5" s="478"/>
      <c r="K5" s="479"/>
      <c r="L5" s="479"/>
      <c r="M5" s="480"/>
      <c r="N5" s="534"/>
      <c r="O5" s="534"/>
      <c r="S5" s="478"/>
      <c r="T5" s="479"/>
      <c r="U5" s="479"/>
      <c r="V5" s="480"/>
      <c r="W5" s="534"/>
      <c r="X5" s="534"/>
      <c r="AB5" s="478"/>
      <c r="AC5" s="479"/>
      <c r="AD5" s="479"/>
      <c r="AE5" s="480"/>
      <c r="AF5" s="534"/>
      <c r="AG5" s="534"/>
    </row>
    <row r="6" spans="1:39" ht="12.75" customHeight="1" x14ac:dyDescent="0.2">
      <c r="A6" s="478"/>
      <c r="B6" s="479"/>
      <c r="C6" s="479"/>
      <c r="D6" s="480"/>
      <c r="E6" s="534"/>
      <c r="F6" s="534"/>
      <c r="J6" s="478"/>
      <c r="K6" s="479"/>
      <c r="L6" s="479"/>
      <c r="M6" s="480"/>
      <c r="N6" s="534"/>
      <c r="O6" s="534"/>
      <c r="S6" s="478"/>
      <c r="T6" s="479"/>
      <c r="U6" s="479"/>
      <c r="V6" s="480"/>
      <c r="W6" s="534"/>
      <c r="X6" s="534"/>
      <c r="AB6" s="478"/>
      <c r="AC6" s="479"/>
      <c r="AD6" s="479"/>
      <c r="AE6" s="480"/>
      <c r="AF6" s="534"/>
      <c r="AG6" s="534"/>
    </row>
    <row r="7" spans="1:39" ht="13.5" customHeight="1" thickBot="1" x14ac:dyDescent="0.25">
      <c r="A7" s="481"/>
      <c r="B7" s="482"/>
      <c r="C7" s="482"/>
      <c r="D7" s="483"/>
      <c r="E7" s="535"/>
      <c r="F7" s="535"/>
      <c r="G7" s="203" t="s">
        <v>371</v>
      </c>
      <c r="J7" s="481"/>
      <c r="K7" s="482"/>
      <c r="L7" s="482"/>
      <c r="M7" s="483"/>
      <c r="N7" s="535"/>
      <c r="O7" s="535"/>
      <c r="S7" s="481"/>
      <c r="T7" s="482"/>
      <c r="U7" s="482"/>
      <c r="V7" s="483"/>
      <c r="W7" s="535"/>
      <c r="X7" s="535"/>
      <c r="AB7" s="481"/>
      <c r="AC7" s="482"/>
      <c r="AD7" s="482"/>
      <c r="AE7" s="483"/>
      <c r="AF7" s="535"/>
      <c r="AG7" s="535"/>
    </row>
    <row r="8" spans="1:39" ht="13.5" thickBot="1" x14ac:dyDescent="0.25">
      <c r="A8" s="257">
        <v>1</v>
      </c>
      <c r="B8" s="258"/>
      <c r="C8" s="258"/>
      <c r="D8" s="259"/>
      <c r="E8" s="82">
        <v>2</v>
      </c>
      <c r="F8" s="82">
        <v>3</v>
      </c>
      <c r="J8" s="257">
        <v>1</v>
      </c>
      <c r="K8" s="258"/>
      <c r="L8" s="258"/>
      <c r="M8" s="259"/>
      <c r="N8" s="82">
        <v>2</v>
      </c>
      <c r="O8" s="82">
        <v>3</v>
      </c>
      <c r="S8" s="257">
        <v>1</v>
      </c>
      <c r="T8" s="258"/>
      <c r="U8" s="258"/>
      <c r="V8" s="259"/>
      <c r="W8" s="82">
        <v>2</v>
      </c>
      <c r="X8" s="82">
        <v>3</v>
      </c>
      <c r="AB8" s="257">
        <v>1</v>
      </c>
      <c r="AC8" s="258"/>
      <c r="AD8" s="258"/>
      <c r="AE8" s="259"/>
      <c r="AF8" s="82">
        <v>2</v>
      </c>
      <c r="AG8" s="82">
        <v>3</v>
      </c>
      <c r="AL8">
        <v>2020</v>
      </c>
      <c r="AM8">
        <v>2021</v>
      </c>
    </row>
    <row r="9" spans="1:39" ht="24.95" customHeight="1" x14ac:dyDescent="0.2">
      <c r="A9" s="472" t="s">
        <v>244</v>
      </c>
      <c r="B9" s="472"/>
      <c r="C9" s="472"/>
      <c r="D9" s="472"/>
      <c r="E9" s="86" t="s">
        <v>28</v>
      </c>
      <c r="F9" s="86" t="s">
        <v>9</v>
      </c>
      <c r="G9" s="205">
        <f>'Табл. 5 ОМС'!H13</f>
        <v>2957452</v>
      </c>
      <c r="H9" s="205">
        <f>'Табл. 5 ОМС'!I13</f>
        <v>0</v>
      </c>
      <c r="I9" s="205">
        <f>'Табл. 5 ОМС'!J13</f>
        <v>0</v>
      </c>
      <c r="J9" s="472" t="s">
        <v>244</v>
      </c>
      <c r="K9" s="472"/>
      <c r="L9" s="472"/>
      <c r="M9" s="472"/>
      <c r="N9" s="86" t="s">
        <v>28</v>
      </c>
      <c r="O9" s="86" t="s">
        <v>9</v>
      </c>
      <c r="P9" s="205">
        <f>'Табл. 4.3 платные ВСЕГО '!H13</f>
        <v>1177179.47</v>
      </c>
      <c r="Q9" s="205">
        <f>'Табл. 4.3 платные ВСЕГО '!I13</f>
        <v>0</v>
      </c>
      <c r="R9" s="205">
        <f>'Табл. 4.3 платные ВСЕГО '!J13</f>
        <v>0</v>
      </c>
      <c r="S9" s="472" t="s">
        <v>244</v>
      </c>
      <c r="T9" s="472"/>
      <c r="U9" s="472"/>
      <c r="V9" s="472"/>
      <c r="W9" s="86" t="s">
        <v>28</v>
      </c>
      <c r="X9" s="86" t="s">
        <v>9</v>
      </c>
      <c r="Y9" s="205">
        <f>'Табл. 1  Гос.задание(2)'!H13</f>
        <v>486124.44</v>
      </c>
      <c r="Z9" s="205">
        <f>'Табл. 1  Гос.задание(2)'!I13</f>
        <v>0</v>
      </c>
      <c r="AA9" s="205">
        <f>'Табл. 1  Гос.задание(2)'!J13</f>
        <v>0</v>
      </c>
      <c r="AB9" s="472" t="s">
        <v>244</v>
      </c>
      <c r="AC9" s="472"/>
      <c r="AD9" s="472"/>
      <c r="AE9" s="472"/>
      <c r="AF9" s="86" t="s">
        <v>28</v>
      </c>
      <c r="AG9" s="86" t="s">
        <v>9</v>
      </c>
      <c r="AH9" s="205">
        <f>'Табл. 2 Иные цели(2)'!H13</f>
        <v>0</v>
      </c>
      <c r="AI9" s="205">
        <f>'Табл. 2 Иные цели(2)'!I13</f>
        <v>0</v>
      </c>
      <c r="AJ9" s="205">
        <f>'Табл. 2 Иные цели(2)'!J13</f>
        <v>0</v>
      </c>
      <c r="AL9" s="203">
        <f>AH9+Y9+P9+G9</f>
        <v>4620755.91</v>
      </c>
      <c r="AM9" s="203">
        <f>AI9+Z9+Q9+H9</f>
        <v>0</v>
      </c>
    </row>
    <row r="10" spans="1:39" ht="24.95" customHeight="1" x14ac:dyDescent="0.2">
      <c r="A10" s="472" t="s">
        <v>254</v>
      </c>
      <c r="B10" s="472"/>
      <c r="C10" s="472"/>
      <c r="D10" s="472"/>
      <c r="E10" s="86" t="s">
        <v>160</v>
      </c>
      <c r="F10" s="87" t="s">
        <v>9</v>
      </c>
      <c r="G10" s="205">
        <f>'Табл. 5 ОМС'!H14</f>
        <v>0</v>
      </c>
      <c r="H10" s="205">
        <f>'Табл. 5 ОМС'!I14</f>
        <v>0</v>
      </c>
      <c r="I10" s="205">
        <f>'Табл. 5 ОМС'!J14</f>
        <v>0</v>
      </c>
      <c r="J10" s="472" t="s">
        <v>254</v>
      </c>
      <c r="K10" s="472"/>
      <c r="L10" s="472"/>
      <c r="M10" s="472"/>
      <c r="N10" s="86" t="s">
        <v>160</v>
      </c>
      <c r="O10" s="87" t="s">
        <v>9</v>
      </c>
      <c r="P10" s="205">
        <f>'Табл. 4.3 платные ВСЕГО '!H14</f>
        <v>0</v>
      </c>
      <c r="Q10" s="205">
        <f>'Табл. 4.3 платные ВСЕГО '!I14</f>
        <v>0</v>
      </c>
      <c r="R10" s="205">
        <f>'Табл. 4.3 платные ВСЕГО '!J14</f>
        <v>0</v>
      </c>
      <c r="S10" s="472" t="s">
        <v>254</v>
      </c>
      <c r="T10" s="472"/>
      <c r="U10" s="472"/>
      <c r="V10" s="472"/>
      <c r="W10" s="86" t="s">
        <v>160</v>
      </c>
      <c r="X10" s="87" t="s">
        <v>9</v>
      </c>
      <c r="Y10" s="205">
        <f>'Табл. 1  Гос.задание(2)'!H14</f>
        <v>0</v>
      </c>
      <c r="Z10" s="205">
        <f>'Табл. 1  Гос.задание(2)'!I14</f>
        <v>0</v>
      </c>
      <c r="AA10" s="205">
        <f>'Табл. 1  Гос.задание(2)'!J14</f>
        <v>0</v>
      </c>
      <c r="AB10" s="472" t="s">
        <v>254</v>
      </c>
      <c r="AC10" s="472"/>
      <c r="AD10" s="472"/>
      <c r="AE10" s="472"/>
      <c r="AF10" s="86" t="s">
        <v>160</v>
      </c>
      <c r="AG10" s="87" t="s">
        <v>9</v>
      </c>
      <c r="AH10" s="205">
        <f>'Табл. 2 Иные цели(2)'!H14</f>
        <v>0</v>
      </c>
      <c r="AI10" s="205">
        <f>'Табл. 2 Иные цели(2)'!I14</f>
        <v>0</v>
      </c>
      <c r="AJ10" s="205">
        <f>'Табл. 2 Иные цели(2)'!J14</f>
        <v>0</v>
      </c>
    </row>
    <row r="11" spans="1:39" ht="24.95" customHeight="1" x14ac:dyDescent="0.2">
      <c r="A11" s="472" t="s">
        <v>105</v>
      </c>
      <c r="B11" s="472"/>
      <c r="C11" s="472"/>
      <c r="D11" s="472"/>
      <c r="E11" s="86">
        <v>1000</v>
      </c>
      <c r="F11" s="85"/>
      <c r="G11" s="205">
        <f>'Табл. 5 ОМС'!H15</f>
        <v>114848985.11</v>
      </c>
      <c r="H11" s="205">
        <f>'Табл. 5 ОМС'!I15</f>
        <v>105522642.40000001</v>
      </c>
      <c r="I11" s="205">
        <f>'Табл. 5 ОМС'!J15</f>
        <v>105522642.40000001</v>
      </c>
      <c r="J11" s="472" t="s">
        <v>105</v>
      </c>
      <c r="K11" s="472"/>
      <c r="L11" s="472"/>
      <c r="M11" s="472"/>
      <c r="N11" s="86">
        <v>1000</v>
      </c>
      <c r="O11" s="85"/>
      <c r="P11" s="205">
        <f>'Табл. 4.3 платные ВСЕГО '!H15</f>
        <v>7622000</v>
      </c>
      <c r="Q11" s="205">
        <f>'Табл. 4.3 платные ВСЕГО '!I15</f>
        <v>9220000</v>
      </c>
      <c r="R11" s="205">
        <f>'Табл. 4.3 платные ВСЕГО '!J15</f>
        <v>9220000</v>
      </c>
      <c r="S11" s="472" t="s">
        <v>105</v>
      </c>
      <c r="T11" s="472"/>
      <c r="U11" s="472"/>
      <c r="V11" s="472"/>
      <c r="W11" s="86">
        <v>1000</v>
      </c>
      <c r="X11" s="85"/>
      <c r="Y11" s="205">
        <f>'Табл. 1  Гос.задание(2)'!H15</f>
        <v>4558339.2</v>
      </c>
      <c r="Z11" s="205">
        <f>'Табл. 1  Гос.задание(2)'!I15</f>
        <v>4974342.2</v>
      </c>
      <c r="AA11" s="205">
        <f>'Табл. 1  Гос.задание(2)'!J15</f>
        <v>5163911.5</v>
      </c>
      <c r="AB11" s="472" t="s">
        <v>105</v>
      </c>
      <c r="AC11" s="472"/>
      <c r="AD11" s="472"/>
      <c r="AE11" s="472"/>
      <c r="AF11" s="86">
        <v>1000</v>
      </c>
      <c r="AG11" s="85"/>
      <c r="AH11" s="205">
        <f>'Табл. 2 Иные цели(2)'!H15</f>
        <v>23153919.379999999</v>
      </c>
      <c r="AI11" s="205">
        <f>'Табл. 2 Иные цели(2)'!I15</f>
        <v>14800000</v>
      </c>
      <c r="AJ11" s="205">
        <f>'Табл. 2 Иные цели(2)'!J15</f>
        <v>0</v>
      </c>
      <c r="AL11" s="206">
        <f>AH11+Y11+P11+G11</f>
        <v>150183243.69</v>
      </c>
      <c r="AM11" s="203">
        <f>AI11+Z11+Q11+H11</f>
        <v>134516984.59999999</v>
      </c>
    </row>
    <row r="12" spans="1:39" ht="24.95" customHeight="1" x14ac:dyDescent="0.2">
      <c r="A12" s="319" t="s">
        <v>106</v>
      </c>
      <c r="B12" s="319"/>
      <c r="C12" s="319"/>
      <c r="D12" s="319"/>
      <c r="E12" s="81">
        <v>1100</v>
      </c>
      <c r="F12" s="84">
        <v>120</v>
      </c>
      <c r="G12" s="205">
        <f>'Табл. 5 ОМС'!H16</f>
        <v>0</v>
      </c>
      <c r="H12" s="205">
        <f>'Табл. 5 ОМС'!I16</f>
        <v>0</v>
      </c>
      <c r="I12" s="205">
        <f>'Табл. 5 ОМС'!J16</f>
        <v>0</v>
      </c>
      <c r="J12" s="319" t="s">
        <v>106</v>
      </c>
      <c r="K12" s="319"/>
      <c r="L12" s="319"/>
      <c r="M12" s="319"/>
      <c r="N12" s="81">
        <v>1100</v>
      </c>
      <c r="O12" s="84">
        <v>120</v>
      </c>
      <c r="P12" s="205">
        <f>'Табл. 4.3 платные ВСЕГО '!H16</f>
        <v>200000</v>
      </c>
      <c r="Q12" s="205">
        <f>'Табл. 4.3 платные ВСЕГО '!I16</f>
        <v>200000</v>
      </c>
      <c r="R12" s="205">
        <f>'Табл. 4.3 платные ВСЕГО '!J16</f>
        <v>200000</v>
      </c>
      <c r="S12" s="319" t="s">
        <v>106</v>
      </c>
      <c r="T12" s="319"/>
      <c r="U12" s="319"/>
      <c r="V12" s="319"/>
      <c r="W12" s="81">
        <v>1100</v>
      </c>
      <c r="X12" s="84">
        <v>120</v>
      </c>
      <c r="Y12" s="205">
        <f>'Табл. 1  Гос.задание(2)'!H16</f>
        <v>0</v>
      </c>
      <c r="Z12" s="205">
        <f>'Табл. 1  Гос.задание(2)'!I16</f>
        <v>0</v>
      </c>
      <c r="AA12" s="205">
        <f>'Табл. 1  Гос.задание(2)'!J16</f>
        <v>0</v>
      </c>
      <c r="AB12" s="319" t="s">
        <v>106</v>
      </c>
      <c r="AC12" s="319"/>
      <c r="AD12" s="319"/>
      <c r="AE12" s="319"/>
      <c r="AF12" s="81">
        <v>1100</v>
      </c>
      <c r="AG12" s="84">
        <v>120</v>
      </c>
      <c r="AH12" s="205">
        <f>'Табл. 2 Иные цели(2)'!H16</f>
        <v>0</v>
      </c>
      <c r="AI12" s="205">
        <f>'Табл. 2 Иные цели(2)'!I16</f>
        <v>0</v>
      </c>
      <c r="AJ12" s="205">
        <f>'Табл. 2 Иные цели(2)'!J16</f>
        <v>0</v>
      </c>
    </row>
    <row r="13" spans="1:39" ht="24.95" customHeight="1" x14ac:dyDescent="0.2">
      <c r="A13" s="319" t="s">
        <v>24</v>
      </c>
      <c r="B13" s="319"/>
      <c r="C13" s="319"/>
      <c r="D13" s="319"/>
      <c r="E13" s="76"/>
      <c r="F13" s="76"/>
      <c r="G13" s="205">
        <f>'Табл. 5 ОМС'!H17</f>
        <v>0</v>
      </c>
      <c r="H13" s="205">
        <f>'Табл. 5 ОМС'!I17</f>
        <v>0</v>
      </c>
      <c r="I13" s="205">
        <f>'Табл. 5 ОМС'!J17</f>
        <v>0</v>
      </c>
      <c r="J13" s="319" t="s">
        <v>24</v>
      </c>
      <c r="K13" s="319"/>
      <c r="L13" s="319"/>
      <c r="M13" s="319"/>
      <c r="N13" s="76"/>
      <c r="O13" s="76"/>
      <c r="P13" s="205">
        <f>'Табл. 4.3 платные ВСЕГО '!H17</f>
        <v>0</v>
      </c>
      <c r="Q13" s="205">
        <f>'Табл. 4.3 платные ВСЕГО '!I17</f>
        <v>0</v>
      </c>
      <c r="R13" s="205">
        <f>'Табл. 4.3 платные ВСЕГО '!J17</f>
        <v>0</v>
      </c>
      <c r="S13" s="319" t="s">
        <v>24</v>
      </c>
      <c r="T13" s="319"/>
      <c r="U13" s="319"/>
      <c r="V13" s="319"/>
      <c r="W13" s="76"/>
      <c r="X13" s="76"/>
      <c r="Y13" s="205">
        <f>'Табл. 1  Гос.задание(2)'!H17</f>
        <v>0</v>
      </c>
      <c r="Z13" s="205">
        <f>'Табл. 1  Гос.задание(2)'!I17</f>
        <v>0</v>
      </c>
      <c r="AA13" s="205">
        <f>'Табл. 1  Гос.задание(2)'!J17</f>
        <v>0</v>
      </c>
      <c r="AB13" s="319" t="s">
        <v>24</v>
      </c>
      <c r="AC13" s="319"/>
      <c r="AD13" s="319"/>
      <c r="AE13" s="319"/>
      <c r="AF13" s="76"/>
      <c r="AG13" s="76"/>
      <c r="AH13" s="205">
        <f>'Табл. 2 Иные цели(2)'!H17</f>
        <v>0</v>
      </c>
      <c r="AI13" s="205">
        <f>'Табл. 2 Иные цели(2)'!I17</f>
        <v>0</v>
      </c>
      <c r="AJ13" s="205">
        <f>'Табл. 2 Иные цели(2)'!J17</f>
        <v>0</v>
      </c>
    </row>
    <row r="14" spans="1:39" ht="24.95" customHeight="1" x14ac:dyDescent="0.2">
      <c r="A14" s="319"/>
      <c r="B14" s="319"/>
      <c r="C14" s="319"/>
      <c r="D14" s="319"/>
      <c r="E14" s="81">
        <v>1110</v>
      </c>
      <c r="F14" s="84">
        <v>120</v>
      </c>
      <c r="G14" s="205">
        <f>'Табл. 5 ОМС'!H18</f>
        <v>0</v>
      </c>
      <c r="H14" s="205">
        <f>'Табл. 5 ОМС'!I18</f>
        <v>0</v>
      </c>
      <c r="I14" s="205">
        <f>'Табл. 5 ОМС'!J18</f>
        <v>0</v>
      </c>
      <c r="J14" s="319" t="s">
        <v>369</v>
      </c>
      <c r="K14" s="319"/>
      <c r="L14" s="319"/>
      <c r="M14" s="319"/>
      <c r="N14" s="81">
        <v>1110</v>
      </c>
      <c r="O14" s="84">
        <v>120</v>
      </c>
      <c r="P14" s="205">
        <f>'Табл. 4.3 платные ВСЕГО '!H18</f>
        <v>200000</v>
      </c>
      <c r="Q14" s="205">
        <f>'Табл. 4.3 платные ВСЕГО '!I18</f>
        <v>200000</v>
      </c>
      <c r="R14" s="205">
        <f>'Табл. 4.3 платные ВСЕГО '!J18</f>
        <v>200000</v>
      </c>
      <c r="S14" s="319"/>
      <c r="T14" s="319"/>
      <c r="U14" s="319"/>
      <c r="V14" s="319"/>
      <c r="W14" s="81">
        <v>1110</v>
      </c>
      <c r="X14" s="84">
        <v>120</v>
      </c>
      <c r="Y14" s="205">
        <f>'Табл. 1  Гос.задание(2)'!H18</f>
        <v>0</v>
      </c>
      <c r="Z14" s="205">
        <f>'Табл. 1  Гос.задание(2)'!I18</f>
        <v>0</v>
      </c>
      <c r="AA14" s="205">
        <f>'Табл. 1  Гос.задание(2)'!J18</f>
        <v>0</v>
      </c>
      <c r="AB14" s="319"/>
      <c r="AC14" s="319"/>
      <c r="AD14" s="319"/>
      <c r="AE14" s="319"/>
      <c r="AF14" s="81">
        <v>1110</v>
      </c>
      <c r="AG14" s="84">
        <v>120</v>
      </c>
      <c r="AH14" s="205">
        <f>'Табл. 2 Иные цели(2)'!H18</f>
        <v>0</v>
      </c>
      <c r="AI14" s="205">
        <f>'Табл. 2 Иные цели(2)'!I18</f>
        <v>0</v>
      </c>
      <c r="AJ14" s="205">
        <f>'Табл. 2 Иные цели(2)'!J18</f>
        <v>0</v>
      </c>
    </row>
    <row r="15" spans="1:39" ht="24.95" customHeight="1" x14ac:dyDescent="0.2">
      <c r="A15" s="319" t="s">
        <v>107</v>
      </c>
      <c r="B15" s="319"/>
      <c r="C15" s="319"/>
      <c r="D15" s="319"/>
      <c r="E15" s="81">
        <v>1200</v>
      </c>
      <c r="F15" s="84">
        <v>130</v>
      </c>
      <c r="G15" s="205">
        <f>'Табл. 5 ОМС'!H19</f>
        <v>111621763.28</v>
      </c>
      <c r="H15" s="205">
        <f>'Табл. 5 ОМС'!I19</f>
        <v>105522642.40000001</v>
      </c>
      <c r="I15" s="205">
        <f>'Табл. 5 ОМС'!J19</f>
        <v>105522642.40000001</v>
      </c>
      <c r="J15" s="319" t="s">
        <v>107</v>
      </c>
      <c r="K15" s="319"/>
      <c r="L15" s="319"/>
      <c r="M15" s="319"/>
      <c r="N15" s="81">
        <v>1200</v>
      </c>
      <c r="O15" s="84">
        <v>130</v>
      </c>
      <c r="P15" s="205">
        <f>'Табл. 4.3 платные ВСЕГО '!H19</f>
        <v>7120000</v>
      </c>
      <c r="Q15" s="205">
        <f>'Табл. 4.3 платные ВСЕГО '!I19</f>
        <v>9020000</v>
      </c>
      <c r="R15" s="205">
        <f>'Табл. 4.3 платные ВСЕГО '!J19</f>
        <v>9020000</v>
      </c>
      <c r="S15" s="319" t="s">
        <v>107</v>
      </c>
      <c r="T15" s="319"/>
      <c r="U15" s="319"/>
      <c r="V15" s="319"/>
      <c r="W15" s="81">
        <v>1200</v>
      </c>
      <c r="X15" s="84">
        <v>130</v>
      </c>
      <c r="Y15" s="205">
        <f>'Табл. 1  Гос.задание(2)'!H19</f>
        <v>4558339.2</v>
      </c>
      <c r="Z15" s="205">
        <f>'Табл. 1  Гос.задание(2)'!I19</f>
        <v>4974342.2</v>
      </c>
      <c r="AA15" s="205">
        <f>'Табл. 1  Гос.задание(2)'!J19</f>
        <v>5163911.5</v>
      </c>
      <c r="AB15" s="319" t="s">
        <v>107</v>
      </c>
      <c r="AC15" s="319"/>
      <c r="AD15" s="319"/>
      <c r="AE15" s="319"/>
      <c r="AF15" s="81">
        <v>1200</v>
      </c>
      <c r="AG15" s="84">
        <v>130</v>
      </c>
      <c r="AH15" s="205">
        <f>'Табл. 2 Иные цели(2)'!H19</f>
        <v>0</v>
      </c>
      <c r="AI15" s="205">
        <f>'Табл. 2 Иные цели(2)'!I19</f>
        <v>0</v>
      </c>
      <c r="AJ15" s="205">
        <f>'Табл. 2 Иные цели(2)'!J19</f>
        <v>0</v>
      </c>
    </row>
    <row r="16" spans="1:39" ht="24.95" customHeight="1" x14ac:dyDescent="0.2">
      <c r="A16" s="319" t="s">
        <v>261</v>
      </c>
      <c r="B16" s="319"/>
      <c r="C16" s="319"/>
      <c r="D16" s="319"/>
      <c r="E16" s="81">
        <v>1210</v>
      </c>
      <c r="F16" s="84">
        <v>130</v>
      </c>
      <c r="G16" s="205">
        <f>'Табл. 5 ОМС'!H20</f>
        <v>0</v>
      </c>
      <c r="H16" s="205">
        <f>'Табл. 5 ОМС'!I20</f>
        <v>0</v>
      </c>
      <c r="I16" s="205">
        <f>'Табл. 5 ОМС'!J20</f>
        <v>0</v>
      </c>
      <c r="J16" s="319" t="s">
        <v>261</v>
      </c>
      <c r="K16" s="319"/>
      <c r="L16" s="319"/>
      <c r="M16" s="319"/>
      <c r="N16" s="81">
        <v>1210</v>
      </c>
      <c r="O16" s="84">
        <v>130</v>
      </c>
      <c r="P16" s="205">
        <f>'Табл. 4.3 платные ВСЕГО '!H20</f>
        <v>0</v>
      </c>
      <c r="Q16" s="205">
        <f>'Табл. 4.3 платные ВСЕГО '!I20</f>
        <v>0</v>
      </c>
      <c r="R16" s="205">
        <f>'Табл. 4.3 платные ВСЕГО '!J20</f>
        <v>0</v>
      </c>
      <c r="S16" s="319" t="s">
        <v>261</v>
      </c>
      <c r="T16" s="319"/>
      <c r="U16" s="319"/>
      <c r="V16" s="319"/>
      <c r="W16" s="81">
        <v>1210</v>
      </c>
      <c r="X16" s="84">
        <v>130</v>
      </c>
      <c r="Y16" s="205">
        <f>'Табл. 1  Гос.задание(2)'!H20</f>
        <v>4558339.2</v>
      </c>
      <c r="Z16" s="205">
        <f>'Табл. 1  Гос.задание(2)'!I20</f>
        <v>4974342.2</v>
      </c>
      <c r="AA16" s="205">
        <f>'Табл. 1  Гос.задание(2)'!J20</f>
        <v>5163911.5</v>
      </c>
      <c r="AB16" s="319" t="s">
        <v>261</v>
      </c>
      <c r="AC16" s="319"/>
      <c r="AD16" s="319"/>
      <c r="AE16" s="319"/>
      <c r="AF16" s="81">
        <v>1210</v>
      </c>
      <c r="AG16" s="84">
        <v>130</v>
      </c>
      <c r="AH16" s="205">
        <f>'Табл. 2 Иные цели(2)'!H20</f>
        <v>0</v>
      </c>
      <c r="AI16" s="205">
        <f>'Табл. 2 Иные цели(2)'!I20</f>
        <v>0</v>
      </c>
      <c r="AJ16" s="205">
        <f>'Табл. 2 Иные цели(2)'!J20</f>
        <v>0</v>
      </c>
    </row>
    <row r="17" spans="1:36" ht="24.95" customHeight="1" x14ac:dyDescent="0.2">
      <c r="A17" s="319" t="s">
        <v>262</v>
      </c>
      <c r="B17" s="319"/>
      <c r="C17" s="319"/>
      <c r="D17" s="319"/>
      <c r="E17" s="81">
        <v>1220</v>
      </c>
      <c r="F17" s="84">
        <v>130</v>
      </c>
      <c r="G17" s="205">
        <f>'Табл. 5 ОМС'!H21</f>
        <v>111621763.28</v>
      </c>
      <c r="H17" s="205">
        <f>'Табл. 5 ОМС'!I21</f>
        <v>105522642.40000001</v>
      </c>
      <c r="I17" s="205">
        <f>'Табл. 5 ОМС'!J21</f>
        <v>105522642.40000001</v>
      </c>
      <c r="J17" s="319" t="s">
        <v>262</v>
      </c>
      <c r="K17" s="319"/>
      <c r="L17" s="319"/>
      <c r="M17" s="319"/>
      <c r="N17" s="81">
        <v>1220</v>
      </c>
      <c r="O17" s="84">
        <v>130</v>
      </c>
      <c r="P17" s="205">
        <f>'Табл. 4.3 платные ВСЕГО '!H21</f>
        <v>0</v>
      </c>
      <c r="Q17" s="205">
        <f>'Табл. 4.3 платные ВСЕГО '!I21</f>
        <v>0</v>
      </c>
      <c r="R17" s="205">
        <f>'Табл. 4.3 платные ВСЕГО '!J21</f>
        <v>0</v>
      </c>
      <c r="S17" s="319" t="s">
        <v>262</v>
      </c>
      <c r="T17" s="319"/>
      <c r="U17" s="319"/>
      <c r="V17" s="319"/>
      <c r="W17" s="81">
        <v>1220</v>
      </c>
      <c r="X17" s="84">
        <v>130</v>
      </c>
      <c r="Y17" s="205">
        <f>'Табл. 1  Гос.задание(2)'!H21</f>
        <v>0</v>
      </c>
      <c r="Z17" s="205">
        <f>'Табл. 1  Гос.задание(2)'!I21</f>
        <v>0</v>
      </c>
      <c r="AA17" s="205">
        <f>'Табл. 1  Гос.задание(2)'!J21</f>
        <v>0</v>
      </c>
      <c r="AB17" s="319" t="s">
        <v>262</v>
      </c>
      <c r="AC17" s="319"/>
      <c r="AD17" s="319"/>
      <c r="AE17" s="319"/>
      <c r="AF17" s="81">
        <v>1220</v>
      </c>
      <c r="AG17" s="84">
        <v>130</v>
      </c>
      <c r="AH17" s="205">
        <f>'Табл. 2 Иные цели(2)'!H21</f>
        <v>0</v>
      </c>
      <c r="AI17" s="205">
        <f>'Табл. 2 Иные цели(2)'!I21</f>
        <v>0</v>
      </c>
      <c r="AJ17" s="205">
        <f>'Табл. 2 Иные цели(2)'!J21</f>
        <v>0</v>
      </c>
    </row>
    <row r="18" spans="1:36" ht="24.95" customHeight="1" x14ac:dyDescent="0.2">
      <c r="A18" s="319"/>
      <c r="B18" s="319"/>
      <c r="C18" s="319"/>
      <c r="D18" s="319"/>
      <c r="E18" s="76"/>
      <c r="F18" s="76"/>
      <c r="G18" s="205">
        <f>'Табл. 5 ОМС'!H22</f>
        <v>0</v>
      </c>
      <c r="H18" s="205">
        <f>'Табл. 5 ОМС'!I22</f>
        <v>0</v>
      </c>
      <c r="I18" s="205">
        <f>'Табл. 5 ОМС'!J22</f>
        <v>0</v>
      </c>
      <c r="J18" s="319"/>
      <c r="K18" s="319"/>
      <c r="L18" s="319"/>
      <c r="M18" s="319"/>
      <c r="N18" s="76"/>
      <c r="O18" s="76"/>
      <c r="P18" s="205">
        <f>'Табл. 4.3 платные ВСЕГО '!H22</f>
        <v>7120000</v>
      </c>
      <c r="Q18" s="205">
        <f>'Табл. 4.3 платные ВСЕГО '!I22</f>
        <v>9020000</v>
      </c>
      <c r="R18" s="205">
        <f>'Табл. 4.3 платные ВСЕГО '!J22</f>
        <v>9020000</v>
      </c>
      <c r="S18" s="319"/>
      <c r="T18" s="319"/>
      <c r="U18" s="319"/>
      <c r="V18" s="319"/>
      <c r="W18" s="76"/>
      <c r="X18" s="76"/>
      <c r="Y18" s="205">
        <f>'Табл. 1  Гос.задание(2)'!H22</f>
        <v>0</v>
      </c>
      <c r="Z18" s="205">
        <f>'Табл. 1  Гос.задание(2)'!I22</f>
        <v>0</v>
      </c>
      <c r="AA18" s="205">
        <f>'Табл. 1  Гос.задание(2)'!J22</f>
        <v>0</v>
      </c>
      <c r="AB18" s="319"/>
      <c r="AC18" s="319"/>
      <c r="AD18" s="319"/>
      <c r="AE18" s="319"/>
      <c r="AF18" s="76"/>
      <c r="AG18" s="76"/>
      <c r="AH18" s="205">
        <f>'Табл. 2 Иные цели(2)'!H22</f>
        <v>0</v>
      </c>
      <c r="AI18" s="205">
        <f>'Табл. 2 Иные цели(2)'!I22</f>
        <v>0</v>
      </c>
      <c r="AJ18" s="205">
        <f>'Табл. 2 Иные цели(2)'!J22</f>
        <v>0</v>
      </c>
    </row>
    <row r="19" spans="1:36" ht="24.95" customHeight="1" x14ac:dyDescent="0.2">
      <c r="A19" s="319" t="s">
        <v>108</v>
      </c>
      <c r="B19" s="319"/>
      <c r="C19" s="319"/>
      <c r="D19" s="319"/>
      <c r="E19" s="81">
        <v>1300</v>
      </c>
      <c r="F19" s="84">
        <v>140</v>
      </c>
      <c r="G19" s="205">
        <f>'Табл. 5 ОМС'!H23</f>
        <v>0</v>
      </c>
      <c r="H19" s="205">
        <f>'Табл. 5 ОМС'!I23</f>
        <v>0</v>
      </c>
      <c r="I19" s="205">
        <f>'Табл. 5 ОМС'!J23</f>
        <v>0</v>
      </c>
      <c r="J19" s="319" t="s">
        <v>108</v>
      </c>
      <c r="K19" s="319"/>
      <c r="L19" s="319"/>
      <c r="M19" s="319"/>
      <c r="N19" s="81">
        <v>1300</v>
      </c>
      <c r="O19" s="84">
        <v>140</v>
      </c>
      <c r="P19" s="205">
        <f>'Табл. 4.3 платные ВСЕГО '!H23</f>
        <v>0</v>
      </c>
      <c r="Q19" s="205">
        <f>'Табл. 4.3 платные ВСЕГО '!I23</f>
        <v>0</v>
      </c>
      <c r="R19" s="205">
        <f>'Табл. 4.3 платные ВСЕГО '!J23</f>
        <v>0</v>
      </c>
      <c r="S19" s="319" t="s">
        <v>108</v>
      </c>
      <c r="T19" s="319"/>
      <c r="U19" s="319"/>
      <c r="V19" s="319"/>
      <c r="W19" s="81">
        <v>1300</v>
      </c>
      <c r="X19" s="84">
        <v>140</v>
      </c>
      <c r="Y19" s="205">
        <f>'Табл. 1  Гос.задание(2)'!H23</f>
        <v>0</v>
      </c>
      <c r="Z19" s="205">
        <f>'Табл. 1  Гос.задание(2)'!I23</f>
        <v>0</v>
      </c>
      <c r="AA19" s="205">
        <f>'Табл. 1  Гос.задание(2)'!J23</f>
        <v>0</v>
      </c>
      <c r="AB19" s="319" t="s">
        <v>108</v>
      </c>
      <c r="AC19" s="319"/>
      <c r="AD19" s="319"/>
      <c r="AE19" s="319"/>
      <c r="AF19" s="81">
        <v>1300</v>
      </c>
      <c r="AG19" s="84">
        <v>140</v>
      </c>
      <c r="AH19" s="205">
        <f>'Табл. 2 Иные цели(2)'!H23</f>
        <v>0</v>
      </c>
      <c r="AI19" s="205">
        <f>'Табл. 2 Иные цели(2)'!I23</f>
        <v>0</v>
      </c>
      <c r="AJ19" s="205">
        <f>'Табл. 2 Иные цели(2)'!J23</f>
        <v>0</v>
      </c>
    </row>
    <row r="20" spans="1:36" ht="24.95" customHeight="1" x14ac:dyDescent="0.2">
      <c r="A20" s="319" t="s">
        <v>24</v>
      </c>
      <c r="B20" s="319"/>
      <c r="C20" s="319"/>
      <c r="D20" s="319"/>
      <c r="E20" s="76"/>
      <c r="F20" s="84"/>
      <c r="G20" s="205">
        <f>'Табл. 5 ОМС'!H24</f>
        <v>0</v>
      </c>
      <c r="H20" s="205">
        <f>'Табл. 5 ОМС'!I24</f>
        <v>0</v>
      </c>
      <c r="I20" s="205">
        <f>'Табл. 5 ОМС'!J24</f>
        <v>0</v>
      </c>
      <c r="J20" s="319" t="s">
        <v>24</v>
      </c>
      <c r="K20" s="319"/>
      <c r="L20" s="319"/>
      <c r="M20" s="319"/>
      <c r="N20" s="76"/>
      <c r="O20" s="84"/>
      <c r="P20" s="205">
        <f>'Табл. 4.3 платные ВСЕГО '!H24</f>
        <v>0</v>
      </c>
      <c r="Q20" s="205">
        <f>'Табл. 4.3 платные ВСЕГО '!I24</f>
        <v>0</v>
      </c>
      <c r="R20" s="205">
        <f>'Табл. 4.3 платные ВСЕГО '!J24</f>
        <v>0</v>
      </c>
      <c r="S20" s="319" t="s">
        <v>24</v>
      </c>
      <c r="T20" s="319"/>
      <c r="U20" s="319"/>
      <c r="V20" s="319"/>
      <c r="W20" s="76"/>
      <c r="X20" s="84"/>
      <c r="Y20" s="205">
        <f>'Табл. 1  Гос.задание(2)'!H24</f>
        <v>0</v>
      </c>
      <c r="Z20" s="205">
        <f>'Табл. 1  Гос.задание(2)'!I24</f>
        <v>0</v>
      </c>
      <c r="AA20" s="205">
        <f>'Табл. 1  Гос.задание(2)'!J24</f>
        <v>0</v>
      </c>
      <c r="AB20" s="319" t="s">
        <v>24</v>
      </c>
      <c r="AC20" s="319"/>
      <c r="AD20" s="319"/>
      <c r="AE20" s="319"/>
      <c r="AF20" s="76"/>
      <c r="AG20" s="84"/>
      <c r="AH20" s="205">
        <f>'Табл. 2 Иные цели(2)'!H24</f>
        <v>0</v>
      </c>
      <c r="AI20" s="205">
        <f>'Табл. 2 Иные цели(2)'!I24</f>
        <v>0</v>
      </c>
      <c r="AJ20" s="205">
        <f>'Табл. 2 Иные цели(2)'!J24</f>
        <v>0</v>
      </c>
    </row>
    <row r="21" spans="1:36" ht="24.95" customHeight="1" x14ac:dyDescent="0.2">
      <c r="A21" s="319"/>
      <c r="B21" s="319"/>
      <c r="C21" s="319"/>
      <c r="D21" s="319"/>
      <c r="E21" s="81">
        <v>1310</v>
      </c>
      <c r="F21" s="84">
        <v>140</v>
      </c>
      <c r="G21" s="205">
        <f>'Табл. 5 ОМС'!H25</f>
        <v>0</v>
      </c>
      <c r="H21" s="205">
        <f>'Табл. 5 ОМС'!I25</f>
        <v>0</v>
      </c>
      <c r="I21" s="205">
        <f>'Табл. 5 ОМС'!J25</f>
        <v>0</v>
      </c>
      <c r="J21" s="319"/>
      <c r="K21" s="319"/>
      <c r="L21" s="319"/>
      <c r="M21" s="319"/>
      <c r="N21" s="81">
        <v>1310</v>
      </c>
      <c r="O21" s="84">
        <v>140</v>
      </c>
      <c r="P21" s="205">
        <f>'Табл. 4.3 платные ВСЕГО '!H25</f>
        <v>0</v>
      </c>
      <c r="Q21" s="205">
        <f>'Табл. 4.3 платные ВСЕГО '!I25</f>
        <v>0</v>
      </c>
      <c r="R21" s="205">
        <f>'Табл. 4.3 платные ВСЕГО '!J25</f>
        <v>0</v>
      </c>
      <c r="S21" s="319"/>
      <c r="T21" s="319"/>
      <c r="U21" s="319"/>
      <c r="V21" s="319"/>
      <c r="W21" s="81">
        <v>1310</v>
      </c>
      <c r="X21" s="84">
        <v>140</v>
      </c>
      <c r="Y21" s="205">
        <f>'Табл. 1  Гос.задание(2)'!H25</f>
        <v>0</v>
      </c>
      <c r="Z21" s="205">
        <f>'Табл. 1  Гос.задание(2)'!I25</f>
        <v>0</v>
      </c>
      <c r="AA21" s="205">
        <f>'Табл. 1  Гос.задание(2)'!J25</f>
        <v>0</v>
      </c>
      <c r="AB21" s="319"/>
      <c r="AC21" s="319"/>
      <c r="AD21" s="319"/>
      <c r="AE21" s="319"/>
      <c r="AF21" s="81">
        <v>1310</v>
      </c>
      <c r="AG21" s="84">
        <v>140</v>
      </c>
      <c r="AH21" s="205">
        <f>'Табл. 2 Иные цели(2)'!H25</f>
        <v>0</v>
      </c>
      <c r="AI21" s="205">
        <f>'Табл. 2 Иные цели(2)'!I25</f>
        <v>0</v>
      </c>
      <c r="AJ21" s="205">
        <f>'Табл. 2 Иные цели(2)'!J25</f>
        <v>0</v>
      </c>
    </row>
    <row r="22" spans="1:36" ht="24.95" customHeight="1" x14ac:dyDescent="0.2">
      <c r="A22" s="319" t="s">
        <v>109</v>
      </c>
      <c r="B22" s="319"/>
      <c r="C22" s="319"/>
      <c r="D22" s="319"/>
      <c r="E22" s="81">
        <v>1400</v>
      </c>
      <c r="F22" s="84">
        <v>150</v>
      </c>
      <c r="G22" s="205">
        <f>'Табл. 5 ОМС'!H26</f>
        <v>3227221.83</v>
      </c>
      <c r="H22" s="205">
        <f>'Табл. 5 ОМС'!I26</f>
        <v>0</v>
      </c>
      <c r="I22" s="205">
        <f>'Табл. 5 ОМС'!J26</f>
        <v>0</v>
      </c>
      <c r="J22" s="319" t="s">
        <v>109</v>
      </c>
      <c r="K22" s="319"/>
      <c r="L22" s="319"/>
      <c r="M22" s="319"/>
      <c r="N22" s="81">
        <v>1400</v>
      </c>
      <c r="O22" s="84">
        <v>150</v>
      </c>
      <c r="P22" s="205">
        <f>'Табл. 4.3 платные ВСЕГО '!H26</f>
        <v>300000</v>
      </c>
      <c r="Q22" s="205">
        <f>'Табл. 4.3 платные ВСЕГО '!I26</f>
        <v>0</v>
      </c>
      <c r="R22" s="205">
        <f>'Табл. 4.3 платные ВСЕГО '!J26</f>
        <v>0</v>
      </c>
      <c r="S22" s="319" t="s">
        <v>109</v>
      </c>
      <c r="T22" s="319"/>
      <c r="U22" s="319"/>
      <c r="V22" s="319"/>
      <c r="W22" s="81">
        <v>1400</v>
      </c>
      <c r="X22" s="84">
        <v>150</v>
      </c>
      <c r="Y22" s="205">
        <f>'Табл. 1  Гос.задание(2)'!H26</f>
        <v>0</v>
      </c>
      <c r="Z22" s="205">
        <f>'Табл. 1  Гос.задание(2)'!I26</f>
        <v>0</v>
      </c>
      <c r="AA22" s="205">
        <f>'Табл. 1  Гос.задание(2)'!J26</f>
        <v>0</v>
      </c>
      <c r="AB22" s="319" t="s">
        <v>109</v>
      </c>
      <c r="AC22" s="319"/>
      <c r="AD22" s="319"/>
      <c r="AE22" s="319"/>
      <c r="AF22" s="81">
        <v>1400</v>
      </c>
      <c r="AG22" s="84">
        <v>150</v>
      </c>
      <c r="AH22" s="205">
        <f>'Табл. 2 Иные цели(2)'!H26</f>
        <v>23153919.379999999</v>
      </c>
      <c r="AI22" s="205">
        <f>'Табл. 2 Иные цели(2)'!I26</f>
        <v>14800000</v>
      </c>
      <c r="AJ22" s="205">
        <f>'Табл. 2 Иные цели(2)'!J26</f>
        <v>0</v>
      </c>
    </row>
    <row r="23" spans="1:36" ht="24.95" customHeight="1" x14ac:dyDescent="0.2">
      <c r="A23" s="319" t="s">
        <v>24</v>
      </c>
      <c r="B23" s="319"/>
      <c r="C23" s="319"/>
      <c r="D23" s="319"/>
      <c r="E23" s="76"/>
      <c r="F23" s="76"/>
      <c r="G23" s="205">
        <f>'Табл. 5 ОМС'!H27</f>
        <v>0</v>
      </c>
      <c r="H23" s="205">
        <f>'Табл. 5 ОМС'!I27</f>
        <v>0</v>
      </c>
      <c r="I23" s="205">
        <f>'Табл. 5 ОМС'!J27</f>
        <v>0</v>
      </c>
      <c r="J23" s="319" t="s">
        <v>24</v>
      </c>
      <c r="K23" s="319"/>
      <c r="L23" s="319"/>
      <c r="M23" s="319"/>
      <c r="N23" s="76"/>
      <c r="O23" s="76"/>
      <c r="P23" s="205">
        <f>'Табл. 4.3 платные ВСЕГО '!H27</f>
        <v>0</v>
      </c>
      <c r="Q23" s="205">
        <f>'Табл. 4.3 платные ВСЕГО '!I27</f>
        <v>0</v>
      </c>
      <c r="R23" s="205">
        <f>'Табл. 4.3 платные ВСЕГО '!J27</f>
        <v>0</v>
      </c>
      <c r="S23" s="319" t="s">
        <v>24</v>
      </c>
      <c r="T23" s="319"/>
      <c r="U23" s="319"/>
      <c r="V23" s="319"/>
      <c r="W23" s="76"/>
      <c r="X23" s="76"/>
      <c r="Y23" s="205">
        <f>'Табл. 1  Гос.задание(2)'!H27</f>
        <v>0</v>
      </c>
      <c r="Z23" s="205">
        <f>'Табл. 1  Гос.задание(2)'!I27</f>
        <v>0</v>
      </c>
      <c r="AA23" s="205">
        <f>'Табл. 1  Гос.задание(2)'!J27</f>
        <v>0</v>
      </c>
      <c r="AB23" s="319" t="s">
        <v>24</v>
      </c>
      <c r="AC23" s="319"/>
      <c r="AD23" s="319"/>
      <c r="AE23" s="319"/>
      <c r="AF23" s="76"/>
      <c r="AG23" s="76"/>
      <c r="AH23" s="205">
        <f>'Табл. 2 Иные цели(2)'!H27</f>
        <v>0</v>
      </c>
      <c r="AI23" s="205">
        <f>'Табл. 2 Иные цели(2)'!I27</f>
        <v>0</v>
      </c>
      <c r="AJ23" s="205">
        <f>'Табл. 2 Иные цели(2)'!J27</f>
        <v>0</v>
      </c>
    </row>
    <row r="24" spans="1:36" ht="24.95" customHeight="1" x14ac:dyDescent="0.2">
      <c r="A24" s="319"/>
      <c r="B24" s="319"/>
      <c r="C24" s="319"/>
      <c r="D24" s="319"/>
      <c r="E24" s="76"/>
      <c r="F24" s="76"/>
      <c r="G24" s="205">
        <f>'Табл. 5 ОМС'!H30</f>
        <v>3227221.83</v>
      </c>
      <c r="H24" s="205">
        <f>'Табл. 5 ОМС'!I30</f>
        <v>0</v>
      </c>
      <c r="I24" s="205">
        <f>'Табл. 5 ОМС'!J30</f>
        <v>0</v>
      </c>
      <c r="J24" s="319"/>
      <c r="K24" s="319"/>
      <c r="L24" s="319"/>
      <c r="M24" s="319"/>
      <c r="N24" s="76"/>
      <c r="O24" s="76"/>
      <c r="P24" s="205">
        <f>'Табл. 4.3 платные ВСЕГО '!H30</f>
        <v>300000</v>
      </c>
      <c r="Q24" s="205">
        <f>'Табл. 4.3 платные ВСЕГО '!I30</f>
        <v>0</v>
      </c>
      <c r="R24" s="205">
        <f>'Табл. 4.3 платные ВСЕГО '!J30</f>
        <v>0</v>
      </c>
      <c r="S24" s="319"/>
      <c r="T24" s="319"/>
      <c r="U24" s="319"/>
      <c r="V24" s="319"/>
      <c r="W24" s="76"/>
      <c r="X24" s="76"/>
      <c r="Y24" s="205">
        <f>'Табл. 1  Гос.задание(2)'!H28</f>
        <v>0</v>
      </c>
      <c r="Z24" s="205">
        <f>'Табл. 1  Гос.задание(2)'!I28</f>
        <v>0</v>
      </c>
      <c r="AA24" s="205">
        <f>'Табл. 1  Гос.задание(2)'!J28</f>
        <v>0</v>
      </c>
      <c r="AB24" s="319"/>
      <c r="AC24" s="319"/>
      <c r="AD24" s="319"/>
      <c r="AE24" s="319"/>
      <c r="AF24" s="76"/>
      <c r="AG24" s="76"/>
      <c r="AH24" s="205">
        <f>'Табл. 2 Иные цели(2)'!H28</f>
        <v>11173919.380000001</v>
      </c>
      <c r="AI24" s="205">
        <f>'Табл. 2 Иные цели(2)'!I28</f>
        <v>0</v>
      </c>
      <c r="AJ24" s="205">
        <f>'Табл. 2 Иные цели(2)'!J28</f>
        <v>0</v>
      </c>
    </row>
    <row r="25" spans="1:36" ht="24.95" customHeight="1" x14ac:dyDescent="0.2">
      <c r="A25" s="319" t="s">
        <v>110</v>
      </c>
      <c r="B25" s="319"/>
      <c r="C25" s="319"/>
      <c r="D25" s="319"/>
      <c r="E25" s="81">
        <v>1500</v>
      </c>
      <c r="F25" s="84">
        <v>180</v>
      </c>
      <c r="G25" s="205">
        <f>'Табл. 5 ОМС'!H31</f>
        <v>0</v>
      </c>
      <c r="H25" s="205">
        <f>'Табл. 5 ОМС'!I31</f>
        <v>0</v>
      </c>
      <c r="I25" s="205">
        <f>'Табл. 5 ОМС'!J31</f>
        <v>0</v>
      </c>
      <c r="J25" s="319" t="s">
        <v>110</v>
      </c>
      <c r="K25" s="319"/>
      <c r="L25" s="319"/>
      <c r="M25" s="319"/>
      <c r="N25" s="81">
        <v>1500</v>
      </c>
      <c r="O25" s="84">
        <v>180</v>
      </c>
      <c r="P25" s="205">
        <f>'Табл. 4.3 платные ВСЕГО '!H31</f>
        <v>0</v>
      </c>
      <c r="Q25" s="205">
        <f>'Табл. 4.3 платные ВСЕГО '!I31</f>
        <v>0</v>
      </c>
      <c r="R25" s="205">
        <f>'Табл. 4.3 платные ВСЕГО '!J31</f>
        <v>0</v>
      </c>
      <c r="S25" s="319" t="s">
        <v>110</v>
      </c>
      <c r="T25" s="319"/>
      <c r="U25" s="319"/>
      <c r="V25" s="319"/>
      <c r="W25" s="81">
        <v>1500</v>
      </c>
      <c r="X25" s="84">
        <v>180</v>
      </c>
      <c r="Y25" s="205">
        <f>'Табл. 1  Гос.задание(2)'!H30</f>
        <v>0</v>
      </c>
      <c r="Z25" s="205">
        <f>'Табл. 1  Гос.задание(2)'!I30</f>
        <v>0</v>
      </c>
      <c r="AA25" s="205">
        <f>'Табл. 1  Гос.задание(2)'!J30</f>
        <v>0</v>
      </c>
      <c r="AB25" s="319" t="s">
        <v>110</v>
      </c>
      <c r="AC25" s="319"/>
      <c r="AD25" s="319"/>
      <c r="AE25" s="319"/>
      <c r="AF25" s="81">
        <v>1500</v>
      </c>
      <c r="AG25" s="84">
        <v>180</v>
      </c>
      <c r="AH25" s="205">
        <f>'Табл. 2 Иные цели(2)'!H30</f>
        <v>0</v>
      </c>
      <c r="AI25" s="205">
        <f>'Табл. 2 Иные цели(2)'!I30</f>
        <v>0</v>
      </c>
      <c r="AJ25" s="205">
        <f>'Табл. 2 Иные цели(2)'!J30</f>
        <v>0</v>
      </c>
    </row>
    <row r="26" spans="1:36" ht="24.95" customHeight="1" x14ac:dyDescent="0.2">
      <c r="A26" s="319" t="s">
        <v>24</v>
      </c>
      <c r="B26" s="319"/>
      <c r="C26" s="319"/>
      <c r="D26" s="319"/>
      <c r="E26" s="76"/>
      <c r="F26" s="76"/>
      <c r="G26" s="205">
        <f>'Табл. 5 ОМС'!H32</f>
        <v>0</v>
      </c>
      <c r="H26" s="205">
        <f>'Табл. 5 ОМС'!I32</f>
        <v>0</v>
      </c>
      <c r="I26" s="205">
        <f>'Табл. 5 ОМС'!J32</f>
        <v>0</v>
      </c>
      <c r="J26" s="319" t="s">
        <v>24</v>
      </c>
      <c r="K26" s="319"/>
      <c r="L26" s="319"/>
      <c r="M26" s="319"/>
      <c r="N26" s="76"/>
      <c r="O26" s="76"/>
      <c r="P26" s="205">
        <f>'Табл. 4.3 платные ВСЕГО '!H32</f>
        <v>0</v>
      </c>
      <c r="Q26" s="205">
        <f>'Табл. 4.3 платные ВСЕГО '!I32</f>
        <v>0</v>
      </c>
      <c r="R26" s="205">
        <f>'Табл. 4.3 платные ВСЕГО '!J32</f>
        <v>0</v>
      </c>
      <c r="S26" s="319" t="s">
        <v>24</v>
      </c>
      <c r="T26" s="319"/>
      <c r="U26" s="319"/>
      <c r="V26" s="319"/>
      <c r="W26" s="76"/>
      <c r="X26" s="76"/>
      <c r="Y26" s="205">
        <f>'Табл. 1  Гос.задание(2)'!H31</f>
        <v>0</v>
      </c>
      <c r="Z26" s="205">
        <f>'Табл. 1  Гос.задание(2)'!I31</f>
        <v>0</v>
      </c>
      <c r="AA26" s="205">
        <f>'Табл. 1  Гос.задание(2)'!J31</f>
        <v>0</v>
      </c>
      <c r="AB26" s="319" t="s">
        <v>24</v>
      </c>
      <c r="AC26" s="319"/>
      <c r="AD26" s="319"/>
      <c r="AE26" s="319"/>
      <c r="AF26" s="76"/>
      <c r="AG26" s="76"/>
      <c r="AH26" s="205">
        <f>'Табл. 2 Иные цели(2)'!H31</f>
        <v>0</v>
      </c>
      <c r="AI26" s="205">
        <f>'Табл. 2 Иные цели(2)'!I31</f>
        <v>0</v>
      </c>
      <c r="AJ26" s="205">
        <f>'Табл. 2 Иные цели(2)'!J31</f>
        <v>0</v>
      </c>
    </row>
    <row r="27" spans="1:36" ht="24.95" customHeight="1" x14ac:dyDescent="0.2">
      <c r="A27" s="319" t="s">
        <v>111</v>
      </c>
      <c r="B27" s="319"/>
      <c r="C27" s="319"/>
      <c r="D27" s="319"/>
      <c r="E27" s="81">
        <v>1510</v>
      </c>
      <c r="F27" s="84">
        <v>180</v>
      </c>
      <c r="G27" s="205">
        <f>'Табл. 5 ОМС'!H33</f>
        <v>0</v>
      </c>
      <c r="H27" s="205">
        <f>'Табл. 5 ОМС'!I33</f>
        <v>0</v>
      </c>
      <c r="I27" s="205">
        <f>'Табл. 5 ОМС'!J33</f>
        <v>0</v>
      </c>
      <c r="J27" s="319" t="s">
        <v>111</v>
      </c>
      <c r="K27" s="319"/>
      <c r="L27" s="319"/>
      <c r="M27" s="319"/>
      <c r="N27" s="81">
        <v>1510</v>
      </c>
      <c r="O27" s="84">
        <v>180</v>
      </c>
      <c r="P27" s="205">
        <f>'Табл. 4.3 платные ВСЕГО '!H33</f>
        <v>0</v>
      </c>
      <c r="Q27" s="205">
        <f>'Табл. 4.3 платные ВСЕГО '!I33</f>
        <v>0</v>
      </c>
      <c r="R27" s="205">
        <f>'Табл. 4.3 платные ВСЕГО '!J33</f>
        <v>0</v>
      </c>
      <c r="S27" s="319" t="s">
        <v>111</v>
      </c>
      <c r="T27" s="319"/>
      <c r="U27" s="319"/>
      <c r="V27" s="319"/>
      <c r="W27" s="81">
        <v>1510</v>
      </c>
      <c r="X27" s="84">
        <v>180</v>
      </c>
      <c r="Y27" s="205">
        <f>'Табл. 1  Гос.задание(2)'!H32</f>
        <v>0</v>
      </c>
      <c r="Z27" s="205">
        <f>'Табл. 1  Гос.задание(2)'!I32</f>
        <v>0</v>
      </c>
      <c r="AA27" s="205">
        <f>'Табл. 1  Гос.задание(2)'!J32</f>
        <v>0</v>
      </c>
      <c r="AB27" s="319" t="s">
        <v>111</v>
      </c>
      <c r="AC27" s="319"/>
      <c r="AD27" s="319"/>
      <c r="AE27" s="319"/>
      <c r="AF27" s="81">
        <v>1510</v>
      </c>
      <c r="AG27" s="84">
        <v>180</v>
      </c>
      <c r="AH27" s="205">
        <f>'Табл. 2 Иные цели(2)'!H32</f>
        <v>0</v>
      </c>
      <c r="AI27" s="205">
        <f>'Табл. 2 Иные цели(2)'!I32</f>
        <v>0</v>
      </c>
      <c r="AJ27" s="205">
        <f>'Табл. 2 Иные цели(2)'!J32</f>
        <v>0</v>
      </c>
    </row>
    <row r="28" spans="1:36" ht="24.95" customHeight="1" x14ac:dyDescent="0.2">
      <c r="A28" s="319" t="s">
        <v>26</v>
      </c>
      <c r="B28" s="319"/>
      <c r="C28" s="319"/>
      <c r="D28" s="319"/>
      <c r="E28" s="81">
        <v>1520</v>
      </c>
      <c r="F28" s="84">
        <v>180</v>
      </c>
      <c r="G28" s="205">
        <f>'Табл. 5 ОМС'!H34</f>
        <v>0</v>
      </c>
      <c r="H28" s="205">
        <f>'Табл. 5 ОМС'!I34</f>
        <v>0</v>
      </c>
      <c r="I28" s="205">
        <f>'Табл. 5 ОМС'!J34</f>
        <v>0</v>
      </c>
      <c r="J28" s="319" t="s">
        <v>26</v>
      </c>
      <c r="K28" s="319"/>
      <c r="L28" s="319"/>
      <c r="M28" s="319"/>
      <c r="N28" s="81">
        <v>1520</v>
      </c>
      <c r="O28" s="84">
        <v>180</v>
      </c>
      <c r="P28" s="205">
        <f>'Табл. 4.3 платные ВСЕГО '!H34</f>
        <v>0</v>
      </c>
      <c r="Q28" s="205">
        <f>'Табл. 4.3 платные ВСЕГО '!I34</f>
        <v>0</v>
      </c>
      <c r="R28" s="205">
        <f>'Табл. 4.3 платные ВСЕГО '!J34</f>
        <v>0</v>
      </c>
      <c r="S28" s="319" t="s">
        <v>26</v>
      </c>
      <c r="T28" s="319"/>
      <c r="U28" s="319"/>
      <c r="V28" s="319"/>
      <c r="W28" s="81">
        <v>1520</v>
      </c>
      <c r="X28" s="84">
        <v>180</v>
      </c>
      <c r="Y28" s="205">
        <f>'Табл. 1  Гос.задание(2)'!H33</f>
        <v>0</v>
      </c>
      <c r="Z28" s="205">
        <f>'Табл. 1  Гос.задание(2)'!I33</f>
        <v>0</v>
      </c>
      <c r="AA28" s="205">
        <f>'Табл. 1  Гос.задание(2)'!J33</f>
        <v>0</v>
      </c>
      <c r="AB28" s="319" t="s">
        <v>26</v>
      </c>
      <c r="AC28" s="319"/>
      <c r="AD28" s="319"/>
      <c r="AE28" s="319"/>
      <c r="AF28" s="81">
        <v>1520</v>
      </c>
      <c r="AG28" s="84">
        <v>180</v>
      </c>
      <c r="AH28" s="205">
        <f>'Табл. 2 Иные цели(2)'!H33</f>
        <v>0</v>
      </c>
      <c r="AI28" s="205">
        <f>'Табл. 2 Иные цели(2)'!I33</f>
        <v>0</v>
      </c>
      <c r="AJ28" s="205">
        <f>'Табл. 2 Иные цели(2)'!J33</f>
        <v>0</v>
      </c>
    </row>
    <row r="29" spans="1:36" ht="24.95" customHeight="1" x14ac:dyDescent="0.2">
      <c r="A29" s="319"/>
      <c r="B29" s="319"/>
      <c r="C29" s="319"/>
      <c r="D29" s="319"/>
      <c r="E29" s="76"/>
      <c r="F29" s="76"/>
      <c r="G29" s="205">
        <f>'Табл. 5 ОМС'!H35</f>
        <v>0</v>
      </c>
      <c r="H29" s="205">
        <f>'Табл. 5 ОМС'!I35</f>
        <v>0</v>
      </c>
      <c r="I29" s="205">
        <f>'Табл. 5 ОМС'!J35</f>
        <v>0</v>
      </c>
      <c r="J29" s="319"/>
      <c r="K29" s="319"/>
      <c r="L29" s="319"/>
      <c r="M29" s="319"/>
      <c r="N29" s="76"/>
      <c r="O29" s="76"/>
      <c r="P29" s="205">
        <f>'Табл. 4.3 платные ВСЕГО '!H35</f>
        <v>0</v>
      </c>
      <c r="Q29" s="205">
        <f>'Табл. 4.3 платные ВСЕГО '!I35</f>
        <v>0</v>
      </c>
      <c r="R29" s="205">
        <f>'Табл. 4.3 платные ВСЕГО '!J35</f>
        <v>0</v>
      </c>
      <c r="S29" s="319"/>
      <c r="T29" s="319"/>
      <c r="U29" s="319"/>
      <c r="V29" s="319"/>
      <c r="W29" s="76"/>
      <c r="X29" s="76"/>
      <c r="Y29" s="205">
        <f>'Табл. 1  Гос.задание(2)'!H34</f>
        <v>0</v>
      </c>
      <c r="Z29" s="205">
        <f>'Табл. 1  Гос.задание(2)'!I34</f>
        <v>0</v>
      </c>
      <c r="AA29" s="205">
        <f>'Табл. 1  Гос.задание(2)'!J34</f>
        <v>0</v>
      </c>
      <c r="AB29" s="319"/>
      <c r="AC29" s="319"/>
      <c r="AD29" s="319"/>
      <c r="AE29" s="319"/>
      <c r="AF29" s="76"/>
      <c r="AG29" s="76"/>
      <c r="AH29" s="205">
        <f>'Табл. 2 Иные цели(2)'!H34</f>
        <v>0</v>
      </c>
      <c r="AI29" s="205">
        <f>'Табл. 2 Иные цели(2)'!I34</f>
        <v>0</v>
      </c>
      <c r="AJ29" s="205">
        <f>'Табл. 2 Иные цели(2)'!J34</f>
        <v>0</v>
      </c>
    </row>
    <row r="30" spans="1:36" ht="24.95" customHeight="1" x14ac:dyDescent="0.2">
      <c r="A30" s="319" t="s">
        <v>112</v>
      </c>
      <c r="B30" s="319"/>
      <c r="C30" s="319"/>
      <c r="D30" s="319"/>
      <c r="E30" s="81">
        <v>1900</v>
      </c>
      <c r="F30" s="76"/>
      <c r="G30" s="205">
        <f>'Табл. 5 ОМС'!H36</f>
        <v>0</v>
      </c>
      <c r="H30" s="205">
        <f>'Табл. 5 ОМС'!I36</f>
        <v>0</v>
      </c>
      <c r="I30" s="205">
        <f>'Табл. 5 ОМС'!J36</f>
        <v>0</v>
      </c>
      <c r="J30" s="319" t="s">
        <v>112</v>
      </c>
      <c r="K30" s="319"/>
      <c r="L30" s="319"/>
      <c r="M30" s="319"/>
      <c r="N30" s="81">
        <v>1900</v>
      </c>
      <c r="O30" s="76"/>
      <c r="P30" s="205">
        <f>'Табл. 4.3 платные ВСЕГО '!H36</f>
        <v>0</v>
      </c>
      <c r="Q30" s="205">
        <f>'Табл. 4.3 платные ВСЕГО '!I36</f>
        <v>0</v>
      </c>
      <c r="R30" s="205">
        <f>'Табл. 4.3 платные ВСЕГО '!J36</f>
        <v>0</v>
      </c>
      <c r="S30" s="319" t="s">
        <v>112</v>
      </c>
      <c r="T30" s="319"/>
      <c r="U30" s="319"/>
      <c r="V30" s="319"/>
      <c r="W30" s="81">
        <v>1900</v>
      </c>
      <c r="X30" s="76"/>
      <c r="Y30" s="205">
        <f>'Табл. 1  Гос.задание(2)'!H35</f>
        <v>0</v>
      </c>
      <c r="Z30" s="205">
        <f>'Табл. 1  Гос.задание(2)'!I35</f>
        <v>0</v>
      </c>
      <c r="AA30" s="205">
        <f>'Табл. 1  Гос.задание(2)'!J35</f>
        <v>0</v>
      </c>
      <c r="AB30" s="319" t="s">
        <v>112</v>
      </c>
      <c r="AC30" s="319"/>
      <c r="AD30" s="319"/>
      <c r="AE30" s="319"/>
      <c r="AF30" s="81">
        <v>1900</v>
      </c>
      <c r="AG30" s="76"/>
      <c r="AH30" s="205">
        <f>'Табл. 2 Иные цели(2)'!H35</f>
        <v>0</v>
      </c>
      <c r="AI30" s="205">
        <f>'Табл. 2 Иные цели(2)'!I35</f>
        <v>0</v>
      </c>
      <c r="AJ30" s="205">
        <f>'Табл. 2 Иные цели(2)'!J35</f>
        <v>0</v>
      </c>
    </row>
    <row r="31" spans="1:36" ht="24.95" customHeight="1" x14ac:dyDescent="0.2">
      <c r="A31" s="319" t="s">
        <v>24</v>
      </c>
      <c r="B31" s="319"/>
      <c r="C31" s="319"/>
      <c r="D31" s="319"/>
      <c r="E31" s="76"/>
      <c r="F31" s="76"/>
      <c r="G31" s="205">
        <f>'Табл. 5 ОМС'!H37</f>
        <v>0</v>
      </c>
      <c r="H31" s="205">
        <f>'Табл. 5 ОМС'!I37</f>
        <v>0</v>
      </c>
      <c r="I31" s="205">
        <f>'Табл. 5 ОМС'!J37</f>
        <v>0</v>
      </c>
      <c r="J31" s="319" t="s">
        <v>24</v>
      </c>
      <c r="K31" s="319"/>
      <c r="L31" s="319"/>
      <c r="M31" s="319"/>
      <c r="N31" s="76"/>
      <c r="O31" s="76"/>
      <c r="P31" s="205">
        <f>'Табл. 4.3 платные ВСЕГО '!H37</f>
        <v>0</v>
      </c>
      <c r="Q31" s="205">
        <f>'Табл. 4.3 платные ВСЕГО '!I37</f>
        <v>0</v>
      </c>
      <c r="R31" s="205">
        <f>'Табл. 4.3 платные ВСЕГО '!J37</f>
        <v>0</v>
      </c>
      <c r="S31" s="319" t="s">
        <v>24</v>
      </c>
      <c r="T31" s="319"/>
      <c r="U31" s="319"/>
      <c r="V31" s="319"/>
      <c r="W31" s="76"/>
      <c r="X31" s="76"/>
      <c r="Y31" s="205">
        <f>'Табл. 1  Гос.задание(2)'!H36</f>
        <v>0</v>
      </c>
      <c r="Z31" s="205">
        <f>'Табл. 1  Гос.задание(2)'!I36</f>
        <v>0</v>
      </c>
      <c r="AA31" s="205">
        <f>'Табл. 1  Гос.задание(2)'!J36</f>
        <v>0</v>
      </c>
      <c r="AB31" s="319" t="s">
        <v>24</v>
      </c>
      <c r="AC31" s="319"/>
      <c r="AD31" s="319"/>
      <c r="AE31" s="319"/>
      <c r="AF31" s="76"/>
      <c r="AG31" s="76"/>
      <c r="AH31" s="205">
        <f>'Табл. 2 Иные цели(2)'!H36</f>
        <v>0</v>
      </c>
      <c r="AI31" s="205">
        <f>'Табл. 2 Иные цели(2)'!I36</f>
        <v>0</v>
      </c>
      <c r="AJ31" s="205">
        <f>'Табл. 2 Иные цели(2)'!J36</f>
        <v>0</v>
      </c>
    </row>
    <row r="32" spans="1:36" ht="24.95" customHeight="1" x14ac:dyDescent="0.2">
      <c r="A32" s="319"/>
      <c r="B32" s="319"/>
      <c r="C32" s="319"/>
      <c r="D32" s="319"/>
      <c r="E32" s="76"/>
      <c r="F32" s="76"/>
      <c r="G32" s="205">
        <f>'Табл. 5 ОМС'!H38</f>
        <v>0</v>
      </c>
      <c r="H32" s="205">
        <f>'Табл. 5 ОМС'!I38</f>
        <v>0</v>
      </c>
      <c r="I32" s="205">
        <f>'Табл. 5 ОМС'!J38</f>
        <v>0</v>
      </c>
      <c r="J32" s="319"/>
      <c r="K32" s="319"/>
      <c r="L32" s="319"/>
      <c r="M32" s="319"/>
      <c r="N32" s="76"/>
      <c r="O32" s="76"/>
      <c r="P32" s="205">
        <f>'Табл. 4.3 платные ВСЕГО '!H38</f>
        <v>0</v>
      </c>
      <c r="Q32" s="205">
        <f>'Табл. 4.3 платные ВСЕГО '!I38</f>
        <v>0</v>
      </c>
      <c r="R32" s="205">
        <f>'Табл. 4.3 платные ВСЕГО '!J38</f>
        <v>0</v>
      </c>
      <c r="S32" s="319"/>
      <c r="T32" s="319"/>
      <c r="U32" s="319"/>
      <c r="V32" s="319"/>
      <c r="W32" s="76"/>
      <c r="X32" s="76"/>
      <c r="Y32" s="205">
        <f>'Табл. 1  Гос.задание(2)'!H37</f>
        <v>0</v>
      </c>
      <c r="Z32" s="205">
        <f>'Табл. 1  Гос.задание(2)'!I37</f>
        <v>0</v>
      </c>
      <c r="AA32" s="205">
        <f>'Табл. 1  Гос.задание(2)'!J37</f>
        <v>0</v>
      </c>
      <c r="AB32" s="319"/>
      <c r="AC32" s="319"/>
      <c r="AD32" s="319"/>
      <c r="AE32" s="319"/>
      <c r="AF32" s="76"/>
      <c r="AG32" s="76"/>
      <c r="AH32" s="205">
        <f>'Табл. 2 Иные цели(2)'!H37</f>
        <v>0</v>
      </c>
      <c r="AI32" s="205">
        <f>'Табл. 2 Иные цели(2)'!I37</f>
        <v>0</v>
      </c>
      <c r="AJ32" s="205">
        <f>'Табл. 2 Иные цели(2)'!J37</f>
        <v>0</v>
      </c>
    </row>
    <row r="33" spans="1:39" ht="24.95" customHeight="1" x14ac:dyDescent="0.2">
      <c r="A33" s="319"/>
      <c r="B33" s="319"/>
      <c r="C33" s="319"/>
      <c r="D33" s="319"/>
      <c r="E33" s="76"/>
      <c r="F33" s="76"/>
      <c r="G33" s="205">
        <f>'Табл. 5 ОМС'!H39</f>
        <v>0</v>
      </c>
      <c r="H33" s="205">
        <f>'Табл. 5 ОМС'!I39</f>
        <v>0</v>
      </c>
      <c r="I33" s="205">
        <f>'Табл. 5 ОМС'!J39</f>
        <v>0</v>
      </c>
      <c r="J33" s="319"/>
      <c r="K33" s="319"/>
      <c r="L33" s="319"/>
      <c r="M33" s="319"/>
      <c r="N33" s="76"/>
      <c r="O33" s="76"/>
      <c r="P33" s="205">
        <f>'Табл. 4.3 платные ВСЕГО '!H39</f>
        <v>0</v>
      </c>
      <c r="Q33" s="205">
        <f>'Табл. 4.3 платные ВСЕГО '!I39</f>
        <v>0</v>
      </c>
      <c r="R33" s="205">
        <f>'Табл. 4.3 платные ВСЕГО '!J39</f>
        <v>0</v>
      </c>
      <c r="S33" s="319"/>
      <c r="T33" s="319"/>
      <c r="U33" s="319"/>
      <c r="V33" s="319"/>
      <c r="W33" s="76"/>
      <c r="X33" s="76"/>
      <c r="Y33" s="205">
        <f>'Табл. 1  Гос.задание(2)'!H38</f>
        <v>0</v>
      </c>
      <c r="Z33" s="205">
        <f>'Табл. 1  Гос.задание(2)'!I38</f>
        <v>0</v>
      </c>
      <c r="AA33" s="205">
        <f>'Табл. 1  Гос.задание(2)'!J38</f>
        <v>0</v>
      </c>
      <c r="AB33" s="319"/>
      <c r="AC33" s="319"/>
      <c r="AD33" s="319"/>
      <c r="AE33" s="319"/>
      <c r="AF33" s="76"/>
      <c r="AG33" s="76"/>
      <c r="AH33" s="205">
        <f>'Табл. 2 Иные цели(2)'!H38</f>
        <v>0</v>
      </c>
      <c r="AI33" s="205">
        <f>'Табл. 2 Иные цели(2)'!I38</f>
        <v>0</v>
      </c>
      <c r="AJ33" s="205">
        <f>'Табл. 2 Иные цели(2)'!J38</f>
        <v>0</v>
      </c>
    </row>
    <row r="34" spans="1:39" ht="24.95" customHeight="1" x14ac:dyDescent="0.2">
      <c r="A34" s="319" t="s">
        <v>113</v>
      </c>
      <c r="B34" s="319"/>
      <c r="C34" s="319"/>
      <c r="D34" s="319"/>
      <c r="E34" s="81">
        <v>1980</v>
      </c>
      <c r="F34" s="84" t="s">
        <v>9</v>
      </c>
      <c r="G34" s="205">
        <f>'Табл. 5 ОМС'!H40</f>
        <v>0</v>
      </c>
      <c r="H34" s="205">
        <f>'Табл. 5 ОМС'!I40</f>
        <v>0</v>
      </c>
      <c r="I34" s="205">
        <f>'Табл. 5 ОМС'!J40</f>
        <v>0</v>
      </c>
      <c r="J34" s="319" t="s">
        <v>113</v>
      </c>
      <c r="K34" s="319"/>
      <c r="L34" s="319"/>
      <c r="M34" s="319"/>
      <c r="N34" s="81">
        <v>1980</v>
      </c>
      <c r="O34" s="84" t="s">
        <v>9</v>
      </c>
      <c r="P34" s="205">
        <f>'Табл. 4.3 платные ВСЕГО '!H40</f>
        <v>2000</v>
      </c>
      <c r="Q34" s="205">
        <f>'Табл. 4.3 платные ВСЕГО '!I40</f>
        <v>0</v>
      </c>
      <c r="R34" s="205">
        <f>'Табл. 4.3 платные ВСЕГО '!J40</f>
        <v>0</v>
      </c>
      <c r="S34" s="319" t="s">
        <v>113</v>
      </c>
      <c r="T34" s="319"/>
      <c r="U34" s="319"/>
      <c r="V34" s="319"/>
      <c r="W34" s="81">
        <v>1980</v>
      </c>
      <c r="X34" s="84" t="s">
        <v>9</v>
      </c>
      <c r="Y34" s="205">
        <f>'Табл. 1  Гос.задание(2)'!H39</f>
        <v>0</v>
      </c>
      <c r="Z34" s="205">
        <f>'Табл. 1  Гос.задание(2)'!I39</f>
        <v>0</v>
      </c>
      <c r="AA34" s="205">
        <f>'Табл. 1  Гос.задание(2)'!J39</f>
        <v>0</v>
      </c>
      <c r="AB34" s="319" t="s">
        <v>113</v>
      </c>
      <c r="AC34" s="319"/>
      <c r="AD34" s="319"/>
      <c r="AE34" s="319"/>
      <c r="AF34" s="81">
        <v>1980</v>
      </c>
      <c r="AG34" s="84" t="s">
        <v>9</v>
      </c>
      <c r="AH34" s="205">
        <f>'Табл. 2 Иные цели(2)'!H39</f>
        <v>0</v>
      </c>
      <c r="AI34" s="205">
        <f>'Табл. 2 Иные цели(2)'!I39</f>
        <v>0</v>
      </c>
      <c r="AJ34" s="205">
        <f>'Табл. 2 Иные цели(2)'!J39</f>
        <v>0</v>
      </c>
    </row>
    <row r="35" spans="1:39" ht="24.95" customHeight="1" x14ac:dyDescent="0.2">
      <c r="A35" s="319" t="s">
        <v>114</v>
      </c>
      <c r="B35" s="319"/>
      <c r="C35" s="319"/>
      <c r="D35" s="319"/>
      <c r="E35" s="81">
        <v>1981</v>
      </c>
      <c r="F35" s="81">
        <v>510</v>
      </c>
      <c r="G35" s="205">
        <f>'Табл. 5 ОМС'!H41</f>
        <v>0</v>
      </c>
      <c r="H35" s="205">
        <f>'Табл. 5 ОМС'!I41</f>
        <v>0</v>
      </c>
      <c r="I35" s="205">
        <f>'Табл. 5 ОМС'!J41</f>
        <v>0</v>
      </c>
      <c r="J35" s="319" t="s">
        <v>114</v>
      </c>
      <c r="K35" s="319"/>
      <c r="L35" s="319"/>
      <c r="M35" s="319"/>
      <c r="N35" s="81">
        <v>1981</v>
      </c>
      <c r="O35" s="81">
        <v>510</v>
      </c>
      <c r="P35" s="205">
        <f>'Табл. 4.3 платные ВСЕГО '!H41</f>
        <v>2000</v>
      </c>
      <c r="Q35" s="205">
        <f>'Табл. 4.3 платные ВСЕГО '!I41</f>
        <v>0</v>
      </c>
      <c r="R35" s="205">
        <f>'Табл. 4.3 платные ВСЕГО '!J41</f>
        <v>0</v>
      </c>
      <c r="S35" s="319" t="s">
        <v>114</v>
      </c>
      <c r="T35" s="319"/>
      <c r="U35" s="319"/>
      <c r="V35" s="319"/>
      <c r="W35" s="81">
        <v>1981</v>
      </c>
      <c r="X35" s="81">
        <v>510</v>
      </c>
      <c r="Y35" s="205">
        <f>'Табл. 1  Гос.задание(2)'!H40</f>
        <v>0</v>
      </c>
      <c r="Z35" s="205">
        <f>'Табл. 1  Гос.задание(2)'!I40</f>
        <v>0</v>
      </c>
      <c r="AA35" s="205">
        <f>'Табл. 1  Гос.задание(2)'!J40</f>
        <v>0</v>
      </c>
      <c r="AB35" s="319" t="s">
        <v>114</v>
      </c>
      <c r="AC35" s="319"/>
      <c r="AD35" s="319"/>
      <c r="AE35" s="319"/>
      <c r="AF35" s="81">
        <v>1981</v>
      </c>
      <c r="AG35" s="81">
        <v>510</v>
      </c>
      <c r="AH35" s="205">
        <f>'Табл. 2 Иные цели(2)'!H40</f>
        <v>0</v>
      </c>
      <c r="AI35" s="205">
        <f>'Табл. 2 Иные цели(2)'!I40</f>
        <v>0</v>
      </c>
      <c r="AJ35" s="205">
        <f>'Табл. 2 Иные цели(2)'!J40</f>
        <v>0</v>
      </c>
    </row>
    <row r="36" spans="1:39" ht="24.95" customHeight="1" x14ac:dyDescent="0.2">
      <c r="A36" s="319"/>
      <c r="B36" s="319"/>
      <c r="C36" s="319"/>
      <c r="D36" s="319"/>
      <c r="E36" s="81">
        <v>1990</v>
      </c>
      <c r="F36" s="76"/>
      <c r="G36" s="205">
        <f>'Табл. 5 ОМС'!H42</f>
        <v>0</v>
      </c>
      <c r="H36" s="205">
        <f>'Табл. 5 ОМС'!I42</f>
        <v>0</v>
      </c>
      <c r="I36" s="205">
        <f>'Табл. 5 ОМС'!J42</f>
        <v>0</v>
      </c>
      <c r="J36" s="319"/>
      <c r="K36" s="319"/>
      <c r="L36" s="319"/>
      <c r="M36" s="319"/>
      <c r="N36" s="81">
        <v>1990</v>
      </c>
      <c r="O36" s="76"/>
      <c r="P36" s="205">
        <f>'Табл. 4.3 платные ВСЕГО '!H42</f>
        <v>0</v>
      </c>
      <c r="Q36" s="205">
        <f>'Табл. 4.3 платные ВСЕГО '!I42</f>
        <v>0</v>
      </c>
      <c r="R36" s="205">
        <f>'Табл. 4.3 платные ВСЕГО '!J42</f>
        <v>0</v>
      </c>
      <c r="S36" s="319"/>
      <c r="T36" s="319"/>
      <c r="U36" s="319"/>
      <c r="V36" s="319"/>
      <c r="W36" s="81">
        <v>1990</v>
      </c>
      <c r="X36" s="76"/>
      <c r="Y36" s="205">
        <f>'Табл. 1  Гос.задание(2)'!H41</f>
        <v>0</v>
      </c>
      <c r="Z36" s="205">
        <f>'Табл. 1  Гос.задание(2)'!I41</f>
        <v>0</v>
      </c>
      <c r="AA36" s="205">
        <f>'Табл. 1  Гос.задание(2)'!J41</f>
        <v>0</v>
      </c>
      <c r="AB36" s="319"/>
      <c r="AC36" s="319"/>
      <c r="AD36" s="319"/>
      <c r="AE36" s="319"/>
      <c r="AF36" s="81">
        <v>1990</v>
      </c>
      <c r="AG36" s="76"/>
      <c r="AH36" s="205">
        <f>'Табл. 2 Иные цели(2)'!H41</f>
        <v>0</v>
      </c>
      <c r="AI36" s="205">
        <f>'Табл. 2 Иные цели(2)'!I41</f>
        <v>0</v>
      </c>
      <c r="AJ36" s="205">
        <f>'Табл. 2 Иные цели(2)'!J41</f>
        <v>0</v>
      </c>
    </row>
    <row r="37" spans="1:39" ht="24.95" customHeight="1" x14ac:dyDescent="0.2">
      <c r="A37" s="472" t="s">
        <v>115</v>
      </c>
      <c r="B37" s="472"/>
      <c r="C37" s="472"/>
      <c r="D37" s="472"/>
      <c r="E37" s="85">
        <v>2000</v>
      </c>
      <c r="F37" s="85" t="s">
        <v>9</v>
      </c>
      <c r="G37" s="205">
        <f>'Табл. 5 ОМС'!H43</f>
        <v>117806437.11</v>
      </c>
      <c r="H37" s="205">
        <f>'Табл. 5 ОМС'!I43</f>
        <v>105522642.40000001</v>
      </c>
      <c r="I37" s="205">
        <f>'Табл. 5 ОМС'!J43</f>
        <v>105522642.40000001</v>
      </c>
      <c r="J37" s="472" t="s">
        <v>115</v>
      </c>
      <c r="K37" s="472"/>
      <c r="L37" s="472"/>
      <c r="M37" s="472"/>
      <c r="N37" s="85">
        <v>2000</v>
      </c>
      <c r="O37" s="85" t="s">
        <v>9</v>
      </c>
      <c r="P37" s="205">
        <f>'Табл. 4.3 платные ВСЕГО '!H43</f>
        <v>8793368.4700000007</v>
      </c>
      <c r="Q37" s="205">
        <f>'Табл. 4.3 платные ВСЕГО '!I43</f>
        <v>9220000</v>
      </c>
      <c r="R37" s="205">
        <f>'Табл. 4.3 платные ВСЕГО '!J43</f>
        <v>9220000</v>
      </c>
      <c r="S37" s="472" t="s">
        <v>115</v>
      </c>
      <c r="T37" s="472"/>
      <c r="U37" s="472"/>
      <c r="V37" s="472"/>
      <c r="W37" s="85">
        <v>2000</v>
      </c>
      <c r="X37" s="85" t="s">
        <v>9</v>
      </c>
      <c r="Y37" s="206">
        <f>'Табл. 1  Гос.задание(2)'!H42</f>
        <v>5044463.6399999997</v>
      </c>
      <c r="Z37" s="206">
        <f>'Табл. 1  Гос.задание(2)'!I42</f>
        <v>4974342.2</v>
      </c>
      <c r="AA37" s="206">
        <f>'Табл. 1  Гос.задание(2)'!J42</f>
        <v>5163911.5</v>
      </c>
      <c r="AB37" s="472" t="s">
        <v>115</v>
      </c>
      <c r="AC37" s="472"/>
      <c r="AD37" s="472"/>
      <c r="AE37" s="472"/>
      <c r="AF37" s="85">
        <v>2000</v>
      </c>
      <c r="AG37" s="85" t="s">
        <v>9</v>
      </c>
      <c r="AH37" s="206">
        <f>'Табл. 2 Иные цели(2)'!H42</f>
        <v>23153919.379999999</v>
      </c>
      <c r="AI37" s="206">
        <f>'Табл. 2 Иные цели(2)'!I42</f>
        <v>14800000</v>
      </c>
      <c r="AJ37" s="206">
        <f>'Табл. 2 Иные цели(2)'!J42</f>
        <v>0</v>
      </c>
      <c r="AK37" s="219">
        <f>SUM(AL39:AL46,AL50,AL57:AL61,AL73:AL96,AK69:AK71)</f>
        <v>154345351.52000001</v>
      </c>
      <c r="AL37" s="220">
        <f t="shared" ref="AL37:AM39" si="0">AH37+Y37+P37+G37</f>
        <v>154798188.59999999</v>
      </c>
      <c r="AM37" s="203">
        <f t="shared" si="0"/>
        <v>134516984.59999999</v>
      </c>
    </row>
    <row r="38" spans="1:39" ht="24.95" customHeight="1" x14ac:dyDescent="0.2">
      <c r="A38" s="506" t="s">
        <v>116</v>
      </c>
      <c r="B38" s="506"/>
      <c r="C38" s="506"/>
      <c r="D38" s="506"/>
      <c r="E38" s="109">
        <v>2100</v>
      </c>
      <c r="F38" s="109" t="s">
        <v>9</v>
      </c>
      <c r="G38" s="207">
        <f>'Табл. 5 ОМС'!H44</f>
        <v>80691833.689999998</v>
      </c>
      <c r="H38" s="207">
        <f>'Табл. 5 ОМС'!I44</f>
        <v>82839485</v>
      </c>
      <c r="I38" s="207">
        <f>'Табл. 5 ОМС'!J44</f>
        <v>87894446</v>
      </c>
      <c r="J38" s="319" t="s">
        <v>116</v>
      </c>
      <c r="K38" s="319"/>
      <c r="L38" s="319"/>
      <c r="M38" s="319"/>
      <c r="N38" s="109">
        <v>2100</v>
      </c>
      <c r="O38" s="109" t="s">
        <v>9</v>
      </c>
      <c r="P38" s="207">
        <f>'Табл. 4.3 платные ВСЕГО '!H44</f>
        <v>5402768.4100000001</v>
      </c>
      <c r="Q38" s="207">
        <f>'Табл. 4.3 платные ВСЕГО '!I44</f>
        <v>5924039</v>
      </c>
      <c r="R38" s="207">
        <f>'Табл. 4.3 платные ВСЕГО '!J44</f>
        <v>6392139</v>
      </c>
      <c r="S38" s="506" t="s">
        <v>116</v>
      </c>
      <c r="T38" s="506"/>
      <c r="U38" s="506"/>
      <c r="V38" s="506"/>
      <c r="W38" s="109">
        <v>2100</v>
      </c>
      <c r="X38" s="109" t="s">
        <v>9</v>
      </c>
      <c r="Y38" s="205">
        <f>'Табл. 1  Гос.задание(2)'!H43</f>
        <v>3993106.29</v>
      </c>
      <c r="Z38" s="205">
        <f>'Табл. 1  Гос.задание(2)'!I43</f>
        <v>4314225</v>
      </c>
      <c r="AA38" s="205">
        <f>'Табл. 1  Гос.задание(2)'!J43</f>
        <v>4605856</v>
      </c>
      <c r="AB38" s="519" t="s">
        <v>116</v>
      </c>
      <c r="AC38" s="519"/>
      <c r="AD38" s="519"/>
      <c r="AE38" s="519"/>
      <c r="AF38" s="124">
        <v>2100</v>
      </c>
      <c r="AG38" s="124" t="s">
        <v>9</v>
      </c>
      <c r="AH38" s="221">
        <f>'Табл. 2 Иные цели(2)'!H43</f>
        <v>10058119.380000001</v>
      </c>
      <c r="AI38" s="221">
        <f>'Табл. 2 Иные цели(2)'!I43</f>
        <v>0</v>
      </c>
      <c r="AJ38" s="221">
        <f>'Табл. 2 Иные цели(2)'!J43</f>
        <v>0</v>
      </c>
      <c r="AK38">
        <f>SUM(AL39:AL46)</f>
        <v>100145827.77</v>
      </c>
      <c r="AL38" s="209">
        <f t="shared" si="0"/>
        <v>100145827.77</v>
      </c>
      <c r="AM38" s="209">
        <f t="shared" si="0"/>
        <v>93077749</v>
      </c>
    </row>
    <row r="39" spans="1:39" ht="24.95" customHeight="1" x14ac:dyDescent="0.2">
      <c r="A39" s="506" t="s">
        <v>117</v>
      </c>
      <c r="B39" s="506"/>
      <c r="C39" s="506"/>
      <c r="D39" s="506"/>
      <c r="E39" s="109">
        <v>2110</v>
      </c>
      <c r="F39" s="109">
        <v>111</v>
      </c>
      <c r="G39" s="205">
        <f>'Табл. 5 ОМС'!H45</f>
        <v>61130865</v>
      </c>
      <c r="H39" s="205">
        <f>'Табл. 5 ОМС'!I45</f>
        <v>63207400</v>
      </c>
      <c r="I39" s="205">
        <f>'Табл. 5 ОМС'!J45</f>
        <v>67112900</v>
      </c>
      <c r="J39" s="319" t="s">
        <v>117</v>
      </c>
      <c r="K39" s="319"/>
      <c r="L39" s="319"/>
      <c r="M39" s="319"/>
      <c r="N39" s="109">
        <v>2110</v>
      </c>
      <c r="O39" s="109">
        <v>111</v>
      </c>
      <c r="P39" s="205">
        <f>'Табл. 4.3 платные ВСЕГО '!H45</f>
        <v>4074616</v>
      </c>
      <c r="Q39" s="205">
        <f>'Табл. 4.3 платные ВСЕГО '!I45</f>
        <v>4436666</v>
      </c>
      <c r="R39" s="205">
        <f>'Табл. 4.3 платные ВСЕГО '!J45</f>
        <v>4796190</v>
      </c>
      <c r="S39" s="506" t="s">
        <v>117</v>
      </c>
      <c r="T39" s="506"/>
      <c r="U39" s="506"/>
      <c r="V39" s="506"/>
      <c r="W39" s="109">
        <v>2110</v>
      </c>
      <c r="X39" s="109">
        <v>111</v>
      </c>
      <c r="Y39" s="205">
        <f>'Табл. 1  Гос.задание(2)'!H44</f>
        <v>3034611</v>
      </c>
      <c r="Z39" s="205">
        <f>'Табл. 1  Гос.задание(2)'!I44</f>
        <v>3280537</v>
      </c>
      <c r="AA39" s="205">
        <f>'Табл. 1  Гос.задание(2)'!J44</f>
        <v>3504524</v>
      </c>
      <c r="AB39" s="506" t="s">
        <v>117</v>
      </c>
      <c r="AC39" s="506"/>
      <c r="AD39" s="506"/>
      <c r="AE39" s="506"/>
      <c r="AF39" s="109">
        <v>2110</v>
      </c>
      <c r="AG39" s="109">
        <v>111</v>
      </c>
      <c r="AH39" s="205">
        <f>'Табл. 2 Иные цели(2)'!H44</f>
        <v>7745402.3200000003</v>
      </c>
      <c r="AI39" s="205">
        <f>'Табл. 2 Иные цели(2)'!I44</f>
        <v>0</v>
      </c>
      <c r="AJ39" s="205">
        <f>'Табл. 2 Иные цели(2)'!J44</f>
        <v>0</v>
      </c>
      <c r="AL39" s="204">
        <f t="shared" si="0"/>
        <v>75985494.319999993</v>
      </c>
      <c r="AM39" s="204">
        <f t="shared" si="0"/>
        <v>70924603</v>
      </c>
    </row>
    <row r="40" spans="1:39" ht="24.95" customHeight="1" x14ac:dyDescent="0.2">
      <c r="A40" s="271" t="s">
        <v>324</v>
      </c>
      <c r="B40" s="272"/>
      <c r="C40" s="272"/>
      <c r="D40" s="273"/>
      <c r="E40" s="109">
        <v>2111</v>
      </c>
      <c r="F40" s="109">
        <v>111</v>
      </c>
      <c r="G40" s="205">
        <f>'Табл. 5 ОМС'!H46</f>
        <v>512000</v>
      </c>
      <c r="H40" s="205">
        <f>'Табл. 5 ОМС'!I46</f>
        <v>155000</v>
      </c>
      <c r="I40" s="205">
        <f>'Табл. 5 ОМС'!J46</f>
        <v>155000</v>
      </c>
      <c r="J40" s="326" t="s">
        <v>306</v>
      </c>
      <c r="K40" s="327"/>
      <c r="L40" s="327"/>
      <c r="M40" s="328"/>
      <c r="N40" s="109">
        <v>2111</v>
      </c>
      <c r="O40" s="109">
        <v>111</v>
      </c>
      <c r="P40" s="205">
        <f>'Табл. 4.3 платные ВСЕГО '!H46</f>
        <v>30000</v>
      </c>
      <c r="Q40" s="205">
        <f>'Табл. 4.3 платные ВСЕГО '!I46</f>
        <v>5000</v>
      </c>
      <c r="R40" s="205">
        <f>'Табл. 4.3 платные ВСЕГО '!J46</f>
        <v>5000</v>
      </c>
      <c r="S40" s="271" t="s">
        <v>324</v>
      </c>
      <c r="T40" s="272"/>
      <c r="U40" s="272"/>
      <c r="V40" s="273"/>
      <c r="W40" s="109">
        <v>2111</v>
      </c>
      <c r="X40" s="109">
        <v>111</v>
      </c>
      <c r="Y40" s="205">
        <f>'Табл. 1  Гос.задание(2)'!H45</f>
        <v>22000</v>
      </c>
      <c r="Z40" s="205">
        <f>'Табл. 1  Гос.задание(2)'!I45</f>
        <v>0</v>
      </c>
      <c r="AA40" s="205">
        <f>'Табл. 1  Гос.задание(2)'!J45</f>
        <v>0</v>
      </c>
      <c r="AB40" s="271" t="s">
        <v>324</v>
      </c>
      <c r="AC40" s="272"/>
      <c r="AD40" s="272"/>
      <c r="AE40" s="273"/>
      <c r="AF40" s="109">
        <v>2111</v>
      </c>
      <c r="AG40" s="109">
        <v>111</v>
      </c>
      <c r="AH40" s="205">
        <f>'Табл. 2 Иные цели(2)'!H45</f>
        <v>0</v>
      </c>
      <c r="AI40" s="205">
        <f>'Табл. 2 Иные цели(2)'!I45</f>
        <v>0</v>
      </c>
      <c r="AJ40" s="205">
        <f>'Табл. 2 Иные цели(2)'!J45</f>
        <v>0</v>
      </c>
      <c r="AL40" s="204">
        <f t="shared" ref="AL40:AL71" si="1">AH40+Y40+P40+G40</f>
        <v>564000</v>
      </c>
      <c r="AM40" s="204">
        <f t="shared" ref="AM40:AM98" si="2">AI40+Z40+Q40+H40</f>
        <v>160000</v>
      </c>
    </row>
    <row r="41" spans="1:39" ht="24.95" customHeight="1" x14ac:dyDescent="0.2">
      <c r="A41" s="271" t="s">
        <v>325</v>
      </c>
      <c r="B41" s="272"/>
      <c r="C41" s="272"/>
      <c r="D41" s="273"/>
      <c r="E41" s="109">
        <v>2112</v>
      </c>
      <c r="F41" s="109">
        <v>112</v>
      </c>
      <c r="G41" s="205">
        <f>'Табл. 5 ОМС'!H47</f>
        <v>113600</v>
      </c>
      <c r="H41" s="205">
        <f>'Табл. 5 ОМС'!I47</f>
        <v>120000</v>
      </c>
      <c r="I41" s="205">
        <f>'Табл. 5 ОМС'!J47</f>
        <v>120000</v>
      </c>
      <c r="J41" s="326" t="s">
        <v>363</v>
      </c>
      <c r="K41" s="327"/>
      <c r="L41" s="327"/>
      <c r="M41" s="328"/>
      <c r="N41" s="109">
        <v>2112</v>
      </c>
      <c r="O41" s="109">
        <v>112</v>
      </c>
      <c r="P41" s="205">
        <f>'Табл. 4.3 платные ВСЕГО '!H47</f>
        <v>70000</v>
      </c>
      <c r="Q41" s="205">
        <f>'Табл. 4.3 платные ВСЕГО '!I47</f>
        <v>60000</v>
      </c>
      <c r="R41" s="205">
        <f>'Табл. 4.3 платные ВСЕГО '!J47</f>
        <v>60000</v>
      </c>
      <c r="S41" s="271" t="s">
        <v>325</v>
      </c>
      <c r="T41" s="272"/>
      <c r="U41" s="272"/>
      <c r="V41" s="273"/>
      <c r="W41" s="109">
        <v>2112</v>
      </c>
      <c r="X41" s="109">
        <v>112</v>
      </c>
      <c r="Y41" s="205">
        <f>'Табл. 1  Гос.задание(2)'!H46</f>
        <v>0</v>
      </c>
      <c r="Z41" s="205">
        <f>'Табл. 1  Гос.задание(2)'!I46</f>
        <v>0</v>
      </c>
      <c r="AA41" s="205">
        <f>'Табл. 1  Гос.задание(2)'!J46</f>
        <v>0</v>
      </c>
      <c r="AB41" s="271" t="s">
        <v>325</v>
      </c>
      <c r="AC41" s="272"/>
      <c r="AD41" s="272"/>
      <c r="AE41" s="273"/>
      <c r="AF41" s="109">
        <v>2112</v>
      </c>
      <c r="AG41" s="109">
        <v>112</v>
      </c>
      <c r="AH41" s="205">
        <f>'Табл. 2 Иные цели(2)'!H46</f>
        <v>0</v>
      </c>
      <c r="AI41" s="205">
        <f>'Табл. 2 Иные цели(2)'!I46</f>
        <v>0</v>
      </c>
      <c r="AJ41" s="205">
        <f>'Табл. 2 Иные цели(2)'!J46</f>
        <v>0</v>
      </c>
      <c r="AL41" s="204">
        <f t="shared" si="1"/>
        <v>183600</v>
      </c>
      <c r="AM41" s="204">
        <f t="shared" si="2"/>
        <v>180000</v>
      </c>
    </row>
    <row r="42" spans="1:39" ht="24.95" customHeight="1" x14ac:dyDescent="0.2">
      <c r="A42" s="510" t="s">
        <v>326</v>
      </c>
      <c r="B42" s="511"/>
      <c r="C42" s="511"/>
      <c r="D42" s="512"/>
      <c r="E42" s="109">
        <v>2113</v>
      </c>
      <c r="F42" s="109">
        <v>112</v>
      </c>
      <c r="G42" s="205">
        <f>'Табл. 5 ОМС'!H48</f>
        <v>176000</v>
      </c>
      <c r="H42" s="205">
        <f>'Табл. 5 ОМС'!I48</f>
        <v>100000</v>
      </c>
      <c r="I42" s="205">
        <f>'Табл. 5 ОМС'!J48</f>
        <v>100000</v>
      </c>
      <c r="J42" s="305" t="s">
        <v>344</v>
      </c>
      <c r="K42" s="306"/>
      <c r="L42" s="306"/>
      <c r="M42" s="307"/>
      <c r="N42" s="109">
        <v>2113</v>
      </c>
      <c r="O42" s="109">
        <v>112</v>
      </c>
      <c r="P42" s="205">
        <f>'Табл. 4.3 платные ВСЕГО '!H48</f>
        <v>0</v>
      </c>
      <c r="Q42" s="205">
        <f>'Табл. 4.3 платные ВСЕГО '!I48</f>
        <v>0</v>
      </c>
      <c r="R42" s="205">
        <f>'Табл. 4.3 платные ВСЕГО '!J48</f>
        <v>0</v>
      </c>
      <c r="S42" s="510" t="s">
        <v>326</v>
      </c>
      <c r="T42" s="511"/>
      <c r="U42" s="511"/>
      <c r="V42" s="512"/>
      <c r="W42" s="109">
        <v>2113</v>
      </c>
      <c r="X42" s="109">
        <v>112</v>
      </c>
      <c r="Y42" s="205">
        <f>'Табл. 1  Гос.задание(2)'!H47</f>
        <v>0</v>
      </c>
      <c r="Z42" s="205">
        <f>'Табл. 1  Гос.задание(2)'!I47</f>
        <v>0</v>
      </c>
      <c r="AA42" s="205">
        <f>'Табл. 1  Гос.задание(2)'!J47</f>
        <v>0</v>
      </c>
      <c r="AB42" s="510" t="s">
        <v>326</v>
      </c>
      <c r="AC42" s="511"/>
      <c r="AD42" s="511"/>
      <c r="AE42" s="512"/>
      <c r="AF42" s="109">
        <v>2113</v>
      </c>
      <c r="AG42" s="109">
        <v>112</v>
      </c>
      <c r="AH42" s="205">
        <f>'Табл. 2 Иные цели(2)'!H47</f>
        <v>0</v>
      </c>
      <c r="AI42" s="205">
        <f>'Табл. 2 Иные цели(2)'!I47</f>
        <v>0</v>
      </c>
      <c r="AJ42" s="205">
        <f>'Табл. 2 Иные цели(2)'!J47</f>
        <v>0</v>
      </c>
      <c r="AL42" s="204">
        <f t="shared" si="1"/>
        <v>176000</v>
      </c>
      <c r="AM42" s="204">
        <f t="shared" si="2"/>
        <v>100000</v>
      </c>
    </row>
    <row r="43" spans="1:39" ht="24.95" customHeight="1" x14ac:dyDescent="0.2">
      <c r="A43" s="506" t="s">
        <v>118</v>
      </c>
      <c r="B43" s="506"/>
      <c r="C43" s="506"/>
      <c r="D43" s="506"/>
      <c r="E43" s="109">
        <v>2120</v>
      </c>
      <c r="F43" s="109">
        <v>112</v>
      </c>
      <c r="G43" s="205">
        <f>'Табл. 5 ОМС'!H49</f>
        <v>227100</v>
      </c>
      <c r="H43" s="205">
        <f>'Табл. 5 ОМС'!I49</f>
        <v>165000</v>
      </c>
      <c r="I43" s="205">
        <f>'Табл. 5 ОМС'!J49</f>
        <v>165000</v>
      </c>
      <c r="J43" s="319" t="s">
        <v>118</v>
      </c>
      <c r="K43" s="319"/>
      <c r="L43" s="319"/>
      <c r="M43" s="319"/>
      <c r="N43" s="109">
        <v>2120</v>
      </c>
      <c r="O43" s="109">
        <v>112</v>
      </c>
      <c r="P43" s="205">
        <f>'Табл. 4.3 платные ВСЕГО '!H49</f>
        <v>32500</v>
      </c>
      <c r="Q43" s="205">
        <f>'Табл. 4.3 платные ВСЕГО '!I49</f>
        <v>82500</v>
      </c>
      <c r="R43" s="205">
        <f>'Табл. 4.3 платные ВСЕГО '!J49</f>
        <v>82500</v>
      </c>
      <c r="S43" s="506" t="s">
        <v>118</v>
      </c>
      <c r="T43" s="506"/>
      <c r="U43" s="506"/>
      <c r="V43" s="506"/>
      <c r="W43" s="109">
        <v>2120</v>
      </c>
      <c r="X43" s="109">
        <v>112</v>
      </c>
      <c r="Y43" s="205">
        <f>'Табл. 1  Гос.задание(2)'!H48</f>
        <v>22000</v>
      </c>
      <c r="Z43" s="205">
        <f>'Табл. 1  Гос.задание(2)'!I48</f>
        <v>33000</v>
      </c>
      <c r="AA43" s="205">
        <f>'Табл. 1  Гос.задание(2)'!J48</f>
        <v>33000</v>
      </c>
      <c r="AB43" s="506" t="s">
        <v>118</v>
      </c>
      <c r="AC43" s="506"/>
      <c r="AD43" s="506"/>
      <c r="AE43" s="506"/>
      <c r="AF43" s="109">
        <v>2120</v>
      </c>
      <c r="AG43" s="109">
        <v>112</v>
      </c>
      <c r="AH43" s="205">
        <f>'Табл. 2 Иные цели(2)'!H48</f>
        <v>0</v>
      </c>
      <c r="AI43" s="205">
        <f>'Табл. 2 Иные цели(2)'!I48</f>
        <v>0</v>
      </c>
      <c r="AJ43" s="205">
        <f>'Табл. 2 Иные цели(2)'!J48</f>
        <v>0</v>
      </c>
      <c r="AL43" s="204">
        <f t="shared" si="1"/>
        <v>281600</v>
      </c>
      <c r="AM43" s="204">
        <f t="shared" si="2"/>
        <v>280500</v>
      </c>
    </row>
    <row r="44" spans="1:39" ht="24.95" customHeight="1" x14ac:dyDescent="0.2">
      <c r="A44" s="271" t="s">
        <v>300</v>
      </c>
      <c r="B44" s="272"/>
      <c r="C44" s="272"/>
      <c r="D44" s="273"/>
      <c r="E44" s="109">
        <v>2121</v>
      </c>
      <c r="F44" s="109">
        <v>112</v>
      </c>
      <c r="G44" s="205">
        <f>'Табл. 5 ОМС'!H50</f>
        <v>6450</v>
      </c>
      <c r="H44" s="205">
        <f>'Табл. 5 ОМС'!I50</f>
        <v>3450</v>
      </c>
      <c r="I44" s="205">
        <f>'Табл. 5 ОМС'!J50</f>
        <v>3450</v>
      </c>
      <c r="J44" s="326" t="s">
        <v>300</v>
      </c>
      <c r="K44" s="327"/>
      <c r="L44" s="327"/>
      <c r="M44" s="328"/>
      <c r="N44" s="109">
        <v>2121</v>
      </c>
      <c r="O44" s="109">
        <v>112</v>
      </c>
      <c r="P44" s="205">
        <f>'Табл. 4.3 платные ВСЕГО '!H50</f>
        <v>0</v>
      </c>
      <c r="Q44" s="205">
        <f>'Табл. 4.3 платные ВСЕГО '!I50</f>
        <v>0</v>
      </c>
      <c r="R44" s="205">
        <f>'Табл. 4.3 платные ВСЕГО '!J50</f>
        <v>0</v>
      </c>
      <c r="S44" s="271" t="s">
        <v>300</v>
      </c>
      <c r="T44" s="272"/>
      <c r="U44" s="272"/>
      <c r="V44" s="273"/>
      <c r="W44" s="109">
        <v>2121</v>
      </c>
      <c r="X44" s="109">
        <v>112</v>
      </c>
      <c r="Y44" s="205">
        <f>'Табл. 1  Гос.задание(2)'!H49</f>
        <v>0</v>
      </c>
      <c r="Z44" s="205">
        <f>'Табл. 1  Гос.задание(2)'!I49</f>
        <v>0</v>
      </c>
      <c r="AA44" s="205">
        <f>'Табл. 1  Гос.задание(2)'!J49</f>
        <v>0</v>
      </c>
      <c r="AB44" s="271" t="s">
        <v>300</v>
      </c>
      <c r="AC44" s="272"/>
      <c r="AD44" s="272"/>
      <c r="AE44" s="273"/>
      <c r="AF44" s="109">
        <v>2121</v>
      </c>
      <c r="AG44" s="109">
        <v>112</v>
      </c>
      <c r="AH44" s="205">
        <f>'Табл. 2 Иные цели(2)'!H49</f>
        <v>0</v>
      </c>
      <c r="AI44" s="205">
        <f>'Табл. 2 Иные цели(2)'!I49</f>
        <v>0</v>
      </c>
      <c r="AJ44" s="205">
        <f>'Табл. 2 Иные цели(2)'!J49</f>
        <v>0</v>
      </c>
      <c r="AL44" s="204">
        <f t="shared" si="1"/>
        <v>6450</v>
      </c>
      <c r="AM44" s="204">
        <f t="shared" si="2"/>
        <v>3450</v>
      </c>
    </row>
    <row r="45" spans="1:39" ht="24.95" customHeight="1" x14ac:dyDescent="0.2">
      <c r="A45" s="506" t="s">
        <v>119</v>
      </c>
      <c r="B45" s="506"/>
      <c r="C45" s="506"/>
      <c r="D45" s="506"/>
      <c r="E45" s="109">
        <v>2130</v>
      </c>
      <c r="F45" s="109">
        <v>113</v>
      </c>
      <c r="G45" s="205">
        <f>'Табл. 5 ОМС'!H51</f>
        <v>0</v>
      </c>
      <c r="H45" s="205">
        <f>'Табл. 5 ОМС'!I51</f>
        <v>0</v>
      </c>
      <c r="I45" s="205">
        <f>'Табл. 5 ОМС'!J51</f>
        <v>0</v>
      </c>
      <c r="J45" s="319" t="s">
        <v>119</v>
      </c>
      <c r="K45" s="319"/>
      <c r="L45" s="319"/>
      <c r="M45" s="319"/>
      <c r="N45" s="109">
        <v>2130</v>
      </c>
      <c r="O45" s="109">
        <v>113</v>
      </c>
      <c r="P45" s="205">
        <f>'Табл. 4.3 платные ВСЕГО '!H51</f>
        <v>0</v>
      </c>
      <c r="Q45" s="205">
        <f>'Табл. 4.3 платные ВСЕГО '!I51</f>
        <v>0</v>
      </c>
      <c r="R45" s="205">
        <f>'Табл. 4.3 платные ВСЕГО '!J51</f>
        <v>0</v>
      </c>
      <c r="S45" s="506" t="s">
        <v>119</v>
      </c>
      <c r="T45" s="506"/>
      <c r="U45" s="506"/>
      <c r="V45" s="506"/>
      <c r="W45" s="109">
        <v>2130</v>
      </c>
      <c r="X45" s="109">
        <v>113</v>
      </c>
      <c r="Y45" s="205">
        <f>'Табл. 1  Гос.задание(2)'!H50</f>
        <v>0</v>
      </c>
      <c r="Z45" s="205">
        <f>'Табл. 1  Гос.задание(2)'!I50</f>
        <v>0</v>
      </c>
      <c r="AA45" s="205">
        <f>'Табл. 1  Гос.задание(2)'!J50</f>
        <v>0</v>
      </c>
      <c r="AB45" s="506" t="s">
        <v>119</v>
      </c>
      <c r="AC45" s="506"/>
      <c r="AD45" s="506"/>
      <c r="AE45" s="506"/>
      <c r="AF45" s="109">
        <v>2130</v>
      </c>
      <c r="AG45" s="109">
        <v>113</v>
      </c>
      <c r="AH45" s="205">
        <f>'Табл. 2 Иные цели(2)'!H50</f>
        <v>0</v>
      </c>
      <c r="AI45" s="205">
        <f>'Табл. 2 Иные цели(2)'!I50</f>
        <v>0</v>
      </c>
      <c r="AJ45" s="205">
        <f>'Табл. 2 Иные цели(2)'!J50</f>
        <v>0</v>
      </c>
      <c r="AL45" s="204">
        <f t="shared" si="1"/>
        <v>0</v>
      </c>
      <c r="AM45" s="204">
        <f t="shared" si="2"/>
        <v>0</v>
      </c>
    </row>
    <row r="46" spans="1:39" ht="36.75" customHeight="1" x14ac:dyDescent="0.2">
      <c r="A46" s="506" t="s">
        <v>120</v>
      </c>
      <c r="B46" s="506"/>
      <c r="C46" s="506"/>
      <c r="D46" s="506"/>
      <c r="E46" s="109">
        <v>2140</v>
      </c>
      <c r="F46" s="109">
        <v>119</v>
      </c>
      <c r="G46" s="205">
        <f>'Табл. 5 ОМС'!H52</f>
        <v>18525818.690000001</v>
      </c>
      <c r="H46" s="205">
        <f>'Табл. 5 ОМС'!I52</f>
        <v>19088635</v>
      </c>
      <c r="I46" s="205">
        <f>'Табл. 5 ОМС'!J52</f>
        <v>20238096</v>
      </c>
      <c r="J46" s="319" t="s">
        <v>120</v>
      </c>
      <c r="K46" s="319"/>
      <c r="L46" s="319"/>
      <c r="M46" s="319"/>
      <c r="N46" s="109">
        <v>2140</v>
      </c>
      <c r="O46" s="109">
        <v>119</v>
      </c>
      <c r="P46" s="205">
        <f>'Табл. 4.3 платные ВСЕГО '!H52</f>
        <v>1195652.4099999999</v>
      </c>
      <c r="Q46" s="205">
        <f>'Табл. 4.3 платные ВСЕГО '!I52</f>
        <v>1339873</v>
      </c>
      <c r="R46" s="205">
        <f>'Табл. 4.3 платные ВСЕГО '!J52</f>
        <v>1448449</v>
      </c>
      <c r="S46" s="506" t="s">
        <v>120</v>
      </c>
      <c r="T46" s="506"/>
      <c r="U46" s="506"/>
      <c r="V46" s="506"/>
      <c r="W46" s="109">
        <v>2140</v>
      </c>
      <c r="X46" s="109">
        <v>119</v>
      </c>
      <c r="Y46" s="205">
        <f>'Табл. 1  Гос.задание(2)'!H51</f>
        <v>914495.29</v>
      </c>
      <c r="Z46" s="205">
        <f>'Табл. 1  Гос.задание(2)'!I51</f>
        <v>1000688</v>
      </c>
      <c r="AA46" s="205">
        <f>'Табл. 1  Гос.задание(2)'!J51</f>
        <v>1068332</v>
      </c>
      <c r="AB46" s="506" t="s">
        <v>120</v>
      </c>
      <c r="AC46" s="506"/>
      <c r="AD46" s="506"/>
      <c r="AE46" s="506"/>
      <c r="AF46" s="109">
        <v>2140</v>
      </c>
      <c r="AG46" s="109">
        <v>119</v>
      </c>
      <c r="AH46" s="205">
        <f>'Табл. 2 Иные цели(2)'!H51</f>
        <v>2312717.06</v>
      </c>
      <c r="AI46" s="205">
        <f>'Табл. 2 Иные цели(2)'!I51</f>
        <v>0</v>
      </c>
      <c r="AJ46" s="205">
        <f>'Табл. 2 Иные цели(2)'!J51</f>
        <v>0</v>
      </c>
      <c r="AL46" s="204">
        <f t="shared" si="1"/>
        <v>22948683.449999999</v>
      </c>
      <c r="AM46" s="204">
        <f t="shared" si="2"/>
        <v>21429196</v>
      </c>
    </row>
    <row r="47" spans="1:39" ht="24.95" customHeight="1" x14ac:dyDescent="0.2">
      <c r="A47" s="319" t="s">
        <v>121</v>
      </c>
      <c r="B47" s="319"/>
      <c r="C47" s="319"/>
      <c r="D47" s="319"/>
      <c r="E47" s="84">
        <v>2141</v>
      </c>
      <c r="F47" s="84">
        <v>119</v>
      </c>
      <c r="G47" s="205">
        <f>'Табл. 5 ОМС'!H53</f>
        <v>18522804.829999998</v>
      </c>
      <c r="H47" s="205">
        <f>'Табл. 5 ОМС'!I53</f>
        <v>19088635</v>
      </c>
      <c r="I47" s="205">
        <f>'Табл. 5 ОМС'!J53</f>
        <v>20238096</v>
      </c>
      <c r="J47" s="319" t="s">
        <v>121</v>
      </c>
      <c r="K47" s="319"/>
      <c r="L47" s="319"/>
      <c r="M47" s="319"/>
      <c r="N47" s="84">
        <v>2141</v>
      </c>
      <c r="O47" s="84">
        <v>119</v>
      </c>
      <c r="P47" s="205">
        <f>'Табл. 4.3 платные ВСЕГО '!H53</f>
        <v>1195652.4099999999</v>
      </c>
      <c r="Q47" s="205">
        <f>'Табл. 4.3 платные ВСЕГО '!I53</f>
        <v>1339873</v>
      </c>
      <c r="R47" s="205">
        <f>'Табл. 4.3 платные ВСЕГО '!J53</f>
        <v>1448449</v>
      </c>
      <c r="S47" s="319" t="s">
        <v>121</v>
      </c>
      <c r="T47" s="319"/>
      <c r="U47" s="319"/>
      <c r="V47" s="319"/>
      <c r="W47" s="84">
        <v>2141</v>
      </c>
      <c r="X47" s="84">
        <v>119</v>
      </c>
      <c r="Y47" s="205">
        <f>'Табл. 1  Гос.задание(2)'!H52</f>
        <v>914495.29</v>
      </c>
      <c r="Z47" s="205">
        <f>'Табл. 1  Гос.задание(2)'!I52</f>
        <v>1000688</v>
      </c>
      <c r="AA47" s="205">
        <f>'Табл. 1  Гос.задание(2)'!J52</f>
        <v>1068332</v>
      </c>
      <c r="AB47" s="319" t="s">
        <v>121</v>
      </c>
      <c r="AC47" s="319"/>
      <c r="AD47" s="319"/>
      <c r="AE47" s="319"/>
      <c r="AF47" s="84">
        <v>2141</v>
      </c>
      <c r="AG47" s="84">
        <v>119</v>
      </c>
      <c r="AH47" s="205">
        <f>'Табл. 2 Иные цели(2)'!H52</f>
        <v>2312717.06</v>
      </c>
      <c r="AI47" s="205">
        <f>'Табл. 2 Иные цели(2)'!I52</f>
        <v>0</v>
      </c>
      <c r="AJ47" s="205">
        <f>'Табл. 2 Иные цели(2)'!J52</f>
        <v>0</v>
      </c>
      <c r="AL47" s="204">
        <f t="shared" si="1"/>
        <v>22945669.59</v>
      </c>
      <c r="AM47" s="204">
        <f t="shared" si="2"/>
        <v>21429196</v>
      </c>
    </row>
    <row r="48" spans="1:39" ht="24.95" customHeight="1" x14ac:dyDescent="0.2">
      <c r="A48" s="319" t="s">
        <v>122</v>
      </c>
      <c r="B48" s="319"/>
      <c r="C48" s="319"/>
      <c r="D48" s="319"/>
      <c r="E48" s="84">
        <v>2142</v>
      </c>
      <c r="F48" s="84">
        <v>119</v>
      </c>
      <c r="G48" s="205">
        <f>'Табл. 5 ОМС'!H54</f>
        <v>3013.86</v>
      </c>
      <c r="H48" s="205">
        <f>'Табл. 5 ОМС'!I54</f>
        <v>0</v>
      </c>
      <c r="I48" s="205">
        <f>'Табл. 5 ОМС'!J54</f>
        <v>0</v>
      </c>
      <c r="J48" s="319" t="s">
        <v>122</v>
      </c>
      <c r="K48" s="319"/>
      <c r="L48" s="319"/>
      <c r="M48" s="319"/>
      <c r="N48" s="84">
        <v>2142</v>
      </c>
      <c r="O48" s="84">
        <v>119</v>
      </c>
      <c r="P48" s="205">
        <f>'Табл. 4.3 платные ВСЕГО '!H54</f>
        <v>0</v>
      </c>
      <c r="Q48" s="205">
        <f>'Табл. 4.3 платные ВСЕГО '!I54</f>
        <v>0</v>
      </c>
      <c r="R48" s="205">
        <f>'Табл. 4.3 платные ВСЕГО '!J54</f>
        <v>0</v>
      </c>
      <c r="S48" s="319" t="s">
        <v>122</v>
      </c>
      <c r="T48" s="319"/>
      <c r="U48" s="319"/>
      <c r="V48" s="319"/>
      <c r="W48" s="84">
        <v>2142</v>
      </c>
      <c r="X48" s="84">
        <v>119</v>
      </c>
      <c r="Y48" s="205">
        <f>'Табл. 1  Гос.задание(2)'!H53</f>
        <v>0</v>
      </c>
      <c r="Z48" s="205">
        <f>'Табл. 1  Гос.задание(2)'!I53</f>
        <v>0</v>
      </c>
      <c r="AA48" s="205">
        <f>'Табл. 1  Гос.задание(2)'!J53</f>
        <v>0</v>
      </c>
      <c r="AB48" s="319" t="s">
        <v>122</v>
      </c>
      <c r="AC48" s="319"/>
      <c r="AD48" s="319"/>
      <c r="AE48" s="319"/>
      <c r="AF48" s="84">
        <v>2142</v>
      </c>
      <c r="AG48" s="84">
        <v>119</v>
      </c>
      <c r="AH48" s="205">
        <f>'Табл. 2 Иные цели(2)'!H53</f>
        <v>0</v>
      </c>
      <c r="AI48" s="205">
        <f>'Табл. 2 Иные цели(2)'!I53</f>
        <v>0</v>
      </c>
      <c r="AJ48" s="205">
        <f>'Табл. 2 Иные цели(2)'!J53</f>
        <v>0</v>
      </c>
      <c r="AL48" s="204">
        <f t="shared" si="1"/>
        <v>3013.86</v>
      </c>
      <c r="AM48" s="204">
        <f t="shared" si="2"/>
        <v>0</v>
      </c>
    </row>
    <row r="49" spans="1:39" ht="24.95" customHeight="1" x14ac:dyDescent="0.2">
      <c r="A49" s="319" t="s">
        <v>123</v>
      </c>
      <c r="B49" s="319"/>
      <c r="C49" s="319"/>
      <c r="D49" s="319"/>
      <c r="E49" s="84">
        <v>2200</v>
      </c>
      <c r="F49" s="84">
        <v>300</v>
      </c>
      <c r="G49" s="205">
        <f>'Табл. 5 ОМС'!H55</f>
        <v>64674</v>
      </c>
      <c r="H49" s="205">
        <f>'Табл. 5 ОМС'!I55</f>
        <v>0</v>
      </c>
      <c r="I49" s="205">
        <f>'Табл. 5 ОМС'!J55</f>
        <v>0</v>
      </c>
      <c r="J49" s="319" t="s">
        <v>123</v>
      </c>
      <c r="K49" s="319"/>
      <c r="L49" s="319"/>
      <c r="M49" s="319"/>
      <c r="N49" s="84">
        <v>2200</v>
      </c>
      <c r="O49" s="84">
        <v>300</v>
      </c>
      <c r="P49" s="207">
        <f>'Табл. 4.3 платные ВСЕГО '!H55</f>
        <v>140837.69</v>
      </c>
      <c r="Q49" s="207">
        <f>'Табл. 4.3 платные ВСЕГО '!I55</f>
        <v>48090</v>
      </c>
      <c r="R49" s="207">
        <f>'Табл. 4.3 платные ВСЕГО '!J55</f>
        <v>48090</v>
      </c>
      <c r="S49" s="319" t="s">
        <v>123</v>
      </c>
      <c r="T49" s="319"/>
      <c r="U49" s="319"/>
      <c r="V49" s="319"/>
      <c r="W49" s="84">
        <v>2200</v>
      </c>
      <c r="X49" s="84">
        <v>300</v>
      </c>
      <c r="Y49" s="205">
        <f>'Табл. 1  Гос.задание(2)'!H54</f>
        <v>0</v>
      </c>
      <c r="Z49" s="205">
        <f>'Табл. 1  Гос.задание(2)'!I54</f>
        <v>0</v>
      </c>
      <c r="AA49" s="205">
        <f>'Табл. 1  Гос.задание(2)'!J54</f>
        <v>0</v>
      </c>
      <c r="AB49" s="472" t="s">
        <v>123</v>
      </c>
      <c r="AC49" s="472"/>
      <c r="AD49" s="472"/>
      <c r="AE49" s="472"/>
      <c r="AF49" s="85">
        <v>2200</v>
      </c>
      <c r="AG49" s="85">
        <v>300</v>
      </c>
      <c r="AH49" s="205">
        <f>'Табл. 2 Иные цели(2)'!H54</f>
        <v>0</v>
      </c>
      <c r="AI49" s="205">
        <f>'Табл. 2 Иные цели(2)'!I54</f>
        <v>0</v>
      </c>
      <c r="AJ49" s="205">
        <f>'Табл. 2 Иные цели(2)'!J54</f>
        <v>0</v>
      </c>
      <c r="AK49">
        <f>AL50</f>
        <v>205511.69</v>
      </c>
      <c r="AL49" s="203">
        <f t="shared" si="1"/>
        <v>205511.69</v>
      </c>
      <c r="AM49" s="203">
        <f t="shared" si="2"/>
        <v>48090</v>
      </c>
    </row>
    <row r="50" spans="1:39" ht="24.95" customHeight="1" x14ac:dyDescent="0.2">
      <c r="A50" s="319" t="s">
        <v>124</v>
      </c>
      <c r="B50" s="319"/>
      <c r="C50" s="319"/>
      <c r="D50" s="319"/>
      <c r="E50" s="84">
        <v>2210</v>
      </c>
      <c r="F50" s="84">
        <v>320</v>
      </c>
      <c r="G50" s="205">
        <f>'Табл. 5 ОМС'!H56</f>
        <v>64674</v>
      </c>
      <c r="H50" s="205">
        <f>'Табл. 5 ОМС'!I56</f>
        <v>0</v>
      </c>
      <c r="I50" s="205">
        <f>'Табл. 5 ОМС'!J56</f>
        <v>0</v>
      </c>
      <c r="J50" s="319" t="s">
        <v>124</v>
      </c>
      <c r="K50" s="319"/>
      <c r="L50" s="319"/>
      <c r="M50" s="319"/>
      <c r="N50" s="84">
        <v>2210</v>
      </c>
      <c r="O50" s="84">
        <v>320</v>
      </c>
      <c r="P50" s="205">
        <f>'Табл. 4.3 платные ВСЕГО '!H56</f>
        <v>140837.69</v>
      </c>
      <c r="Q50" s="205">
        <f>'Табл. 4.3 платные ВСЕГО '!I56</f>
        <v>48090</v>
      </c>
      <c r="R50" s="205">
        <f>'Табл. 4.3 платные ВСЕГО '!J56</f>
        <v>48090</v>
      </c>
      <c r="S50" s="319" t="s">
        <v>124</v>
      </c>
      <c r="T50" s="319"/>
      <c r="U50" s="319"/>
      <c r="V50" s="319"/>
      <c r="W50" s="84">
        <v>2210</v>
      </c>
      <c r="X50" s="84">
        <v>320</v>
      </c>
      <c r="Y50" s="205">
        <f>'Табл. 1  Гос.задание(2)'!H55</f>
        <v>0</v>
      </c>
      <c r="Z50" s="205">
        <f>'Табл. 1  Гос.задание(2)'!I55</f>
        <v>0</v>
      </c>
      <c r="AA50" s="205">
        <f>'Табл. 1  Гос.задание(2)'!J55</f>
        <v>0</v>
      </c>
      <c r="AB50" s="319" t="s">
        <v>124</v>
      </c>
      <c r="AC50" s="319"/>
      <c r="AD50" s="319"/>
      <c r="AE50" s="319"/>
      <c r="AF50" s="84">
        <v>2210</v>
      </c>
      <c r="AG50" s="84">
        <v>320</v>
      </c>
      <c r="AH50" s="205">
        <f>'Табл. 2 Иные цели(2)'!H55</f>
        <v>0</v>
      </c>
      <c r="AI50" s="205">
        <f>'Табл. 2 Иные цели(2)'!I55</f>
        <v>0</v>
      </c>
      <c r="AJ50" s="205">
        <f>'Табл. 2 Иные цели(2)'!J55</f>
        <v>0</v>
      </c>
      <c r="AL50" s="204">
        <f t="shared" si="1"/>
        <v>205511.69</v>
      </c>
      <c r="AM50" s="204">
        <f t="shared" si="2"/>
        <v>48090</v>
      </c>
    </row>
    <row r="51" spans="1:39" ht="24.95" customHeight="1" x14ac:dyDescent="0.2">
      <c r="A51" s="319" t="s">
        <v>125</v>
      </c>
      <c r="B51" s="319"/>
      <c r="C51" s="319"/>
      <c r="D51" s="319"/>
      <c r="E51" s="84">
        <v>2211</v>
      </c>
      <c r="F51" s="84">
        <v>321</v>
      </c>
      <c r="G51" s="205">
        <f>'Табл. 5 ОМС'!H57</f>
        <v>64674</v>
      </c>
      <c r="H51" s="205">
        <f>'Табл. 5 ОМС'!I57</f>
        <v>0</v>
      </c>
      <c r="I51" s="205">
        <f>'Табл. 5 ОМС'!J57</f>
        <v>0</v>
      </c>
      <c r="J51" s="319" t="s">
        <v>125</v>
      </c>
      <c r="K51" s="319"/>
      <c r="L51" s="319"/>
      <c r="M51" s="319"/>
      <c r="N51" s="84">
        <v>2211</v>
      </c>
      <c r="O51" s="84">
        <v>321</v>
      </c>
      <c r="P51" s="205">
        <f>'Табл. 4.3 платные ВСЕГО '!H57</f>
        <v>0</v>
      </c>
      <c r="Q51" s="205">
        <f>'Табл. 4.3 платные ВСЕГО '!I57</f>
        <v>0</v>
      </c>
      <c r="R51" s="205">
        <f>'Табл. 4.3 платные ВСЕГО '!J57</f>
        <v>0</v>
      </c>
      <c r="S51" s="319" t="s">
        <v>125</v>
      </c>
      <c r="T51" s="319"/>
      <c r="U51" s="319"/>
      <c r="V51" s="319"/>
      <c r="W51" s="84">
        <v>2211</v>
      </c>
      <c r="X51" s="84">
        <v>321</v>
      </c>
      <c r="Y51" s="205">
        <f>'Табл. 1  Гос.задание(2)'!H56</f>
        <v>0</v>
      </c>
      <c r="Z51" s="205">
        <f>'Табл. 1  Гос.задание(2)'!I56</f>
        <v>0</v>
      </c>
      <c r="AA51" s="205">
        <f>'Табл. 1  Гос.задание(2)'!J56</f>
        <v>0</v>
      </c>
      <c r="AB51" s="319" t="s">
        <v>125</v>
      </c>
      <c r="AC51" s="319"/>
      <c r="AD51" s="319"/>
      <c r="AE51" s="319"/>
      <c r="AF51" s="84">
        <v>2211</v>
      </c>
      <c r="AG51" s="84">
        <v>321</v>
      </c>
      <c r="AH51" s="205">
        <f>'Табл. 2 Иные цели(2)'!H56</f>
        <v>240000</v>
      </c>
      <c r="AI51" s="205">
        <f>'Табл. 2 Иные цели(2)'!I56</f>
        <v>0</v>
      </c>
      <c r="AJ51" s="205">
        <f>'Табл. 2 Иные цели(2)'!J56</f>
        <v>0</v>
      </c>
      <c r="AL51" s="204">
        <f t="shared" si="1"/>
        <v>304674</v>
      </c>
      <c r="AM51" s="204">
        <f t="shared" si="2"/>
        <v>0</v>
      </c>
    </row>
    <row r="52" spans="1:39" ht="24.95" customHeight="1" x14ac:dyDescent="0.2">
      <c r="A52" s="319" t="s">
        <v>319</v>
      </c>
      <c r="B52" s="319"/>
      <c r="C52" s="319"/>
      <c r="D52" s="319"/>
      <c r="E52" s="76"/>
      <c r="F52" s="76"/>
      <c r="G52" s="205">
        <f>'Табл. 5 ОМС'!H58</f>
        <v>0</v>
      </c>
      <c r="H52" s="205">
        <f>'Табл. 5 ОМС'!I58</f>
        <v>0</v>
      </c>
      <c r="I52" s="205">
        <f>'Табл. 5 ОМС'!J58</f>
        <v>0</v>
      </c>
      <c r="J52" s="319" t="s">
        <v>319</v>
      </c>
      <c r="K52" s="319"/>
      <c r="L52" s="319"/>
      <c r="M52" s="319"/>
      <c r="N52" s="76"/>
      <c r="O52" s="76"/>
      <c r="P52" s="205">
        <f>'Табл. 4.3 платные ВСЕГО '!H58</f>
        <v>140837.69</v>
      </c>
      <c r="Q52" s="205">
        <f>'Табл. 4.3 платные ВСЕГО '!I58</f>
        <v>48090</v>
      </c>
      <c r="R52" s="205">
        <f>'Табл. 4.3 платные ВСЕГО '!J58</f>
        <v>48090</v>
      </c>
      <c r="S52" s="319"/>
      <c r="T52" s="319"/>
      <c r="U52" s="319"/>
      <c r="V52" s="319"/>
      <c r="W52" s="76"/>
      <c r="X52" s="76"/>
      <c r="Y52" s="205">
        <f>'Табл. 1  Гос.задание(2)'!H57</f>
        <v>0</v>
      </c>
      <c r="Z52" s="205">
        <f>'Табл. 1  Гос.задание(2)'!I57</f>
        <v>0</v>
      </c>
      <c r="AA52" s="205">
        <f>'Табл. 1  Гос.задание(2)'!J57</f>
        <v>0</v>
      </c>
      <c r="AB52" s="319" t="s">
        <v>319</v>
      </c>
      <c r="AC52" s="319"/>
      <c r="AD52" s="319"/>
      <c r="AE52" s="319"/>
      <c r="AF52" s="76"/>
      <c r="AG52" s="76"/>
      <c r="AH52" s="205">
        <f>'Табл. 2 Иные цели(2)'!H57</f>
        <v>0</v>
      </c>
      <c r="AI52" s="205">
        <f>'Табл. 2 Иные цели(2)'!I57</f>
        <v>0</v>
      </c>
      <c r="AJ52" s="205">
        <f>'Табл. 2 Иные цели(2)'!J57</f>
        <v>0</v>
      </c>
      <c r="AL52" s="204">
        <f t="shared" si="1"/>
        <v>140837.69</v>
      </c>
      <c r="AM52" s="204">
        <f t="shared" si="2"/>
        <v>48090</v>
      </c>
    </row>
    <row r="53" spans="1:39" ht="24.95" customHeight="1" x14ac:dyDescent="0.2">
      <c r="A53" s="319" t="s">
        <v>126</v>
      </c>
      <c r="B53" s="319"/>
      <c r="C53" s="319"/>
      <c r="D53" s="319"/>
      <c r="E53" s="84">
        <v>2220</v>
      </c>
      <c r="F53" s="84">
        <v>340</v>
      </c>
      <c r="G53" s="205">
        <f>'Табл. 5 ОМС'!H59</f>
        <v>0</v>
      </c>
      <c r="H53" s="205">
        <f>'Табл. 5 ОМС'!I59</f>
        <v>0</v>
      </c>
      <c r="I53" s="205">
        <f>'Табл. 5 ОМС'!J59</f>
        <v>0</v>
      </c>
      <c r="J53" s="319" t="s">
        <v>126</v>
      </c>
      <c r="K53" s="319"/>
      <c r="L53" s="319"/>
      <c r="M53" s="319"/>
      <c r="N53" s="84">
        <v>2220</v>
      </c>
      <c r="O53" s="84">
        <v>340</v>
      </c>
      <c r="P53" s="205">
        <f>'Табл. 4.3 платные ВСЕГО '!H59</f>
        <v>0</v>
      </c>
      <c r="Q53" s="205">
        <f>'Табл. 4.3 платные ВСЕГО '!I59</f>
        <v>0</v>
      </c>
      <c r="R53" s="205">
        <f>'Табл. 4.3 платные ВСЕГО '!J59</f>
        <v>0</v>
      </c>
      <c r="S53" s="319" t="s">
        <v>126</v>
      </c>
      <c r="T53" s="319"/>
      <c r="U53" s="319"/>
      <c r="V53" s="319"/>
      <c r="W53" s="84">
        <v>2220</v>
      </c>
      <c r="X53" s="84">
        <v>340</v>
      </c>
      <c r="Y53" s="205">
        <f>'Табл. 1  Гос.задание(2)'!H58</f>
        <v>0</v>
      </c>
      <c r="Z53" s="205">
        <f>'Табл. 1  Гос.задание(2)'!I58</f>
        <v>0</v>
      </c>
      <c r="AA53" s="205">
        <f>'Табл. 1  Гос.задание(2)'!J58</f>
        <v>0</v>
      </c>
      <c r="AB53" s="319" t="s">
        <v>126</v>
      </c>
      <c r="AC53" s="319"/>
      <c r="AD53" s="319"/>
      <c r="AE53" s="319"/>
      <c r="AF53" s="84">
        <v>2220</v>
      </c>
      <c r="AG53" s="84">
        <v>340</v>
      </c>
      <c r="AH53" s="205">
        <f>'Табл. 2 Иные цели(2)'!H58</f>
        <v>0</v>
      </c>
      <c r="AI53" s="205">
        <f>'Табл. 2 Иные цели(2)'!I58</f>
        <v>0</v>
      </c>
      <c r="AJ53" s="205">
        <f>'Табл. 2 Иные цели(2)'!J58</f>
        <v>0</v>
      </c>
      <c r="AL53" s="204">
        <f t="shared" si="1"/>
        <v>0</v>
      </c>
      <c r="AM53" s="204">
        <f t="shared" si="2"/>
        <v>0</v>
      </c>
    </row>
    <row r="54" spans="1:39" ht="24.95" customHeight="1" x14ac:dyDescent="0.2">
      <c r="A54" s="319" t="s">
        <v>127</v>
      </c>
      <c r="B54" s="319"/>
      <c r="C54" s="319"/>
      <c r="D54" s="319"/>
      <c r="E54" s="84">
        <v>2230</v>
      </c>
      <c r="F54" s="84">
        <v>350</v>
      </c>
      <c r="G54" s="205">
        <f>'Табл. 5 ОМС'!H60</f>
        <v>0</v>
      </c>
      <c r="H54" s="205">
        <f>'Табл. 5 ОМС'!I60</f>
        <v>0</v>
      </c>
      <c r="I54" s="205">
        <f>'Табл. 5 ОМС'!J60</f>
        <v>0</v>
      </c>
      <c r="J54" s="319" t="s">
        <v>127</v>
      </c>
      <c r="K54" s="319"/>
      <c r="L54" s="319"/>
      <c r="M54" s="319"/>
      <c r="N54" s="84">
        <v>2230</v>
      </c>
      <c r="O54" s="84">
        <v>350</v>
      </c>
      <c r="P54" s="205">
        <f>'Табл. 4.3 платные ВСЕГО '!H60</f>
        <v>0</v>
      </c>
      <c r="Q54" s="205">
        <f>'Табл. 4.3 платные ВСЕГО '!I60</f>
        <v>0</v>
      </c>
      <c r="R54" s="205">
        <f>'Табл. 4.3 платные ВСЕГО '!J60</f>
        <v>0</v>
      </c>
      <c r="S54" s="319" t="s">
        <v>127</v>
      </c>
      <c r="T54" s="319"/>
      <c r="U54" s="319"/>
      <c r="V54" s="319"/>
      <c r="W54" s="84">
        <v>2230</v>
      </c>
      <c r="X54" s="84">
        <v>350</v>
      </c>
      <c r="Y54" s="205">
        <f>'Табл. 1  Гос.задание(2)'!H59</f>
        <v>0</v>
      </c>
      <c r="Z54" s="205">
        <f>'Табл. 1  Гос.задание(2)'!I59</f>
        <v>0</v>
      </c>
      <c r="AA54" s="205">
        <f>'Табл. 1  Гос.задание(2)'!J59</f>
        <v>0</v>
      </c>
      <c r="AB54" s="319" t="s">
        <v>127</v>
      </c>
      <c r="AC54" s="319"/>
      <c r="AD54" s="319"/>
      <c r="AE54" s="319"/>
      <c r="AF54" s="84">
        <v>2230</v>
      </c>
      <c r="AG54" s="84">
        <v>350</v>
      </c>
      <c r="AH54" s="205">
        <f>'Табл. 2 Иные цели(2)'!H59</f>
        <v>0</v>
      </c>
      <c r="AI54" s="205">
        <f>'Табл. 2 Иные цели(2)'!I59</f>
        <v>0</v>
      </c>
      <c r="AJ54" s="205">
        <f>'Табл. 2 Иные цели(2)'!J59</f>
        <v>0</v>
      </c>
      <c r="AL54" s="204">
        <f t="shared" si="1"/>
        <v>0</v>
      </c>
      <c r="AM54" s="204">
        <f t="shared" si="2"/>
        <v>0</v>
      </c>
    </row>
    <row r="55" spans="1:39" ht="24.95" customHeight="1" x14ac:dyDescent="0.2">
      <c r="A55" s="319" t="s">
        <v>128</v>
      </c>
      <c r="B55" s="319"/>
      <c r="C55" s="319"/>
      <c r="D55" s="319"/>
      <c r="E55" s="84">
        <v>2240</v>
      </c>
      <c r="F55" s="84">
        <v>360</v>
      </c>
      <c r="G55" s="205">
        <f>'Табл. 5 ОМС'!H61</f>
        <v>0</v>
      </c>
      <c r="H55" s="205">
        <f>'Табл. 5 ОМС'!I61</f>
        <v>0</v>
      </c>
      <c r="I55" s="205">
        <f>'Табл. 5 ОМС'!J61</f>
        <v>0</v>
      </c>
      <c r="J55" s="319" t="s">
        <v>128</v>
      </c>
      <c r="K55" s="319"/>
      <c r="L55" s="319"/>
      <c r="M55" s="319"/>
      <c r="N55" s="84">
        <v>2240</v>
      </c>
      <c r="O55" s="84">
        <v>360</v>
      </c>
      <c r="P55" s="205">
        <f>'Табл. 4.3 платные ВСЕГО '!H61</f>
        <v>0</v>
      </c>
      <c r="Q55" s="205">
        <f>'Табл. 4.3 платные ВСЕГО '!I61</f>
        <v>0</v>
      </c>
      <c r="R55" s="205">
        <f>'Табл. 4.3 платные ВСЕГО '!J61</f>
        <v>0</v>
      </c>
      <c r="S55" s="319" t="s">
        <v>128</v>
      </c>
      <c r="T55" s="319"/>
      <c r="U55" s="319"/>
      <c r="V55" s="319"/>
      <c r="W55" s="84">
        <v>2240</v>
      </c>
      <c r="X55" s="84">
        <v>360</v>
      </c>
      <c r="Y55" s="205">
        <f>'Табл. 1  Гос.задание(2)'!H60</f>
        <v>0</v>
      </c>
      <c r="Z55" s="205">
        <f>'Табл. 1  Гос.задание(2)'!I60</f>
        <v>0</v>
      </c>
      <c r="AA55" s="205">
        <f>'Табл. 1  Гос.задание(2)'!J60</f>
        <v>0</v>
      </c>
      <c r="AB55" s="319" t="s">
        <v>128</v>
      </c>
      <c r="AC55" s="319"/>
      <c r="AD55" s="319"/>
      <c r="AE55" s="319"/>
      <c r="AF55" s="84">
        <v>2240</v>
      </c>
      <c r="AG55" s="84">
        <v>360</v>
      </c>
      <c r="AH55" s="205">
        <f>'Табл. 2 Иные цели(2)'!H60</f>
        <v>0</v>
      </c>
      <c r="AI55" s="205">
        <f>'Табл. 2 Иные цели(2)'!I60</f>
        <v>0</v>
      </c>
      <c r="AJ55" s="205">
        <f>'Табл. 2 Иные цели(2)'!J60</f>
        <v>0</v>
      </c>
      <c r="AL55" s="204">
        <f t="shared" si="1"/>
        <v>0</v>
      </c>
      <c r="AM55" s="204">
        <f t="shared" si="2"/>
        <v>0</v>
      </c>
    </row>
    <row r="56" spans="1:39" ht="24.95" customHeight="1" x14ac:dyDescent="0.2">
      <c r="A56" s="319" t="s">
        <v>129</v>
      </c>
      <c r="B56" s="319"/>
      <c r="C56" s="319"/>
      <c r="D56" s="319"/>
      <c r="E56" s="84">
        <v>2300</v>
      </c>
      <c r="F56" s="84">
        <v>850</v>
      </c>
      <c r="G56" s="207">
        <f>'Табл. 5 ОМС'!H62</f>
        <v>1018667.14</v>
      </c>
      <c r="H56" s="207">
        <f>'Табл. 5 ОМС'!I62</f>
        <v>601642</v>
      </c>
      <c r="I56" s="207">
        <f>'Табл. 5 ОМС'!J62</f>
        <v>551642</v>
      </c>
      <c r="J56" s="319" t="s">
        <v>129</v>
      </c>
      <c r="K56" s="319"/>
      <c r="L56" s="319"/>
      <c r="M56" s="319"/>
      <c r="N56" s="84">
        <v>2300</v>
      </c>
      <c r="O56" s="84">
        <v>850</v>
      </c>
      <c r="P56" s="207">
        <f>'Табл. 4.3 платные ВСЕГО '!H62</f>
        <v>260794.91</v>
      </c>
      <c r="Q56" s="207">
        <f>'Табл. 4.3 платные ВСЕГО '!I62</f>
        <v>360821</v>
      </c>
      <c r="R56" s="207">
        <f>'Табл. 4.3 платные ВСЕГО '!J62</f>
        <v>360821</v>
      </c>
      <c r="S56" s="319" t="s">
        <v>129</v>
      </c>
      <c r="T56" s="319"/>
      <c r="U56" s="319"/>
      <c r="V56" s="319"/>
      <c r="W56" s="84">
        <v>2300</v>
      </c>
      <c r="X56" s="84">
        <v>850</v>
      </c>
      <c r="Y56" s="205">
        <f>'Табл. 1  Гос.задание(2)'!H61</f>
        <v>0</v>
      </c>
      <c r="Z56" s="205">
        <f>'Табл. 1  Гос.задание(2)'!I61</f>
        <v>0</v>
      </c>
      <c r="AA56" s="205">
        <f>'Табл. 1  Гос.задание(2)'!J61</f>
        <v>0</v>
      </c>
      <c r="AB56" s="472" t="s">
        <v>129</v>
      </c>
      <c r="AC56" s="472"/>
      <c r="AD56" s="472"/>
      <c r="AE56" s="472"/>
      <c r="AF56" s="85">
        <v>2300</v>
      </c>
      <c r="AG56" s="85">
        <v>850</v>
      </c>
      <c r="AH56" s="205">
        <f>'Табл. 2 Иные цели(2)'!H61</f>
        <v>0</v>
      </c>
      <c r="AI56" s="205">
        <f>'Табл. 2 Иные цели(2)'!I61</f>
        <v>0</v>
      </c>
      <c r="AJ56" s="205">
        <f>'Табл. 2 Иные цели(2)'!J61</f>
        <v>0</v>
      </c>
      <c r="AK56">
        <f>SUM(AL57:AL61)</f>
        <v>1279462.05</v>
      </c>
      <c r="AL56" s="203">
        <f t="shared" si="1"/>
        <v>1279462.05</v>
      </c>
      <c r="AM56" s="204">
        <f t="shared" si="2"/>
        <v>962463</v>
      </c>
    </row>
    <row r="57" spans="1:39" ht="24.95" customHeight="1" x14ac:dyDescent="0.2">
      <c r="A57" s="319" t="s">
        <v>130</v>
      </c>
      <c r="B57" s="319"/>
      <c r="C57" s="319"/>
      <c r="D57" s="319"/>
      <c r="E57" s="84">
        <v>2310</v>
      </c>
      <c r="F57" s="84">
        <v>851</v>
      </c>
      <c r="G57" s="205">
        <f>'Табл. 5 ОМС'!H63</f>
        <v>152918</v>
      </c>
      <c r="H57" s="205">
        <f>'Табл. 5 ОМС'!I63</f>
        <v>181642</v>
      </c>
      <c r="I57" s="205">
        <f>'Табл. 5 ОМС'!J63</f>
        <v>161642</v>
      </c>
      <c r="J57" s="319" t="s">
        <v>130</v>
      </c>
      <c r="K57" s="319"/>
      <c r="L57" s="319"/>
      <c r="M57" s="319"/>
      <c r="N57" s="84">
        <v>2310</v>
      </c>
      <c r="O57" s="84">
        <v>851</v>
      </c>
      <c r="P57" s="205">
        <f>'Табл. 4.3 платные ВСЕГО '!H63</f>
        <v>40821</v>
      </c>
      <c r="Q57" s="205">
        <f>'Табл. 4.3 платные ВСЕГО '!I63</f>
        <v>40821</v>
      </c>
      <c r="R57" s="205">
        <f>'Табл. 4.3 платные ВСЕГО '!J63</f>
        <v>40821</v>
      </c>
      <c r="S57" s="319" t="s">
        <v>130</v>
      </c>
      <c r="T57" s="319"/>
      <c r="U57" s="319"/>
      <c r="V57" s="319"/>
      <c r="W57" s="84">
        <v>2310</v>
      </c>
      <c r="X57" s="84">
        <v>851</v>
      </c>
      <c r="Y57" s="205">
        <f>'Табл. 1  Гос.задание(2)'!H62</f>
        <v>0</v>
      </c>
      <c r="Z57" s="205">
        <f>'Табл. 1  Гос.задание(2)'!I62</f>
        <v>0</v>
      </c>
      <c r="AA57" s="205">
        <f>'Табл. 1  Гос.задание(2)'!J62</f>
        <v>0</v>
      </c>
      <c r="AB57" s="319" t="s">
        <v>130</v>
      </c>
      <c r="AC57" s="319"/>
      <c r="AD57" s="319"/>
      <c r="AE57" s="319"/>
      <c r="AF57" s="84">
        <v>2310</v>
      </c>
      <c r="AG57" s="84">
        <v>851</v>
      </c>
      <c r="AH57" s="205">
        <f>'Табл. 2 Иные цели(2)'!H62</f>
        <v>0</v>
      </c>
      <c r="AI57" s="205">
        <f>'Табл. 2 Иные цели(2)'!I62</f>
        <v>0</v>
      </c>
      <c r="AJ57" s="205">
        <f>'Табл. 2 Иные цели(2)'!J62</f>
        <v>0</v>
      </c>
      <c r="AL57" s="204">
        <f t="shared" si="1"/>
        <v>193739</v>
      </c>
      <c r="AM57" s="204">
        <f t="shared" si="2"/>
        <v>222463</v>
      </c>
    </row>
    <row r="58" spans="1:39" ht="24.95" customHeight="1" x14ac:dyDescent="0.2">
      <c r="A58" s="319" t="s">
        <v>131</v>
      </c>
      <c r="B58" s="319"/>
      <c r="C58" s="319"/>
      <c r="D58" s="319"/>
      <c r="E58" s="84">
        <v>2320</v>
      </c>
      <c r="F58" s="84">
        <v>852</v>
      </c>
      <c r="G58" s="205">
        <f>'Табл. 5 ОМС'!H64</f>
        <v>98000</v>
      </c>
      <c r="H58" s="205">
        <f>'Табл. 5 ОМС'!I64</f>
        <v>70000</v>
      </c>
      <c r="I58" s="205">
        <f>'Табл. 5 ОМС'!J64</f>
        <v>70000</v>
      </c>
      <c r="J58" s="319" t="s">
        <v>131</v>
      </c>
      <c r="K58" s="319"/>
      <c r="L58" s="319"/>
      <c r="M58" s="319"/>
      <c r="N58" s="84">
        <v>2320</v>
      </c>
      <c r="O58" s="84">
        <v>852</v>
      </c>
      <c r="P58" s="205">
        <f>'Табл. 4.3 платные ВСЕГО '!H64</f>
        <v>22000</v>
      </c>
      <c r="Q58" s="205">
        <f>'Табл. 4.3 платные ВСЕГО '!I64</f>
        <v>20000</v>
      </c>
      <c r="R58" s="205">
        <f>'Табл. 4.3 платные ВСЕГО '!J64</f>
        <v>20000</v>
      </c>
      <c r="S58" s="319" t="s">
        <v>131</v>
      </c>
      <c r="T58" s="319"/>
      <c r="U58" s="319"/>
      <c r="V58" s="319"/>
      <c r="W58" s="84">
        <v>2320</v>
      </c>
      <c r="X58" s="84">
        <v>852</v>
      </c>
      <c r="Y58" s="205">
        <f>'Табл. 1  Гос.задание(2)'!H63</f>
        <v>0</v>
      </c>
      <c r="Z58" s="205">
        <f>'Табл. 1  Гос.задание(2)'!I63</f>
        <v>0</v>
      </c>
      <c r="AA58" s="205">
        <f>'Табл. 1  Гос.задание(2)'!J63</f>
        <v>0</v>
      </c>
      <c r="AB58" s="319" t="s">
        <v>131</v>
      </c>
      <c r="AC58" s="319"/>
      <c r="AD58" s="319"/>
      <c r="AE58" s="319"/>
      <c r="AF58" s="84">
        <v>2320</v>
      </c>
      <c r="AG58" s="84">
        <v>852</v>
      </c>
      <c r="AH58" s="205">
        <f>'Табл. 2 Иные цели(2)'!H63</f>
        <v>0</v>
      </c>
      <c r="AI58" s="205">
        <f>'Табл. 2 Иные цели(2)'!I63</f>
        <v>0</v>
      </c>
      <c r="AJ58" s="205">
        <f>'Табл. 2 Иные цели(2)'!J63</f>
        <v>0</v>
      </c>
      <c r="AL58" s="204">
        <f t="shared" si="1"/>
        <v>120000</v>
      </c>
      <c r="AM58" s="204">
        <f t="shared" si="2"/>
        <v>90000</v>
      </c>
    </row>
    <row r="59" spans="1:39" ht="24.95" customHeight="1" x14ac:dyDescent="0.2">
      <c r="A59" s="319" t="s">
        <v>132</v>
      </c>
      <c r="B59" s="319"/>
      <c r="C59" s="319"/>
      <c r="D59" s="319"/>
      <c r="E59" s="84"/>
      <c r="F59" s="84">
        <v>853</v>
      </c>
      <c r="G59" s="205">
        <f>'Табл. 5 ОМС'!H65</f>
        <v>410000</v>
      </c>
      <c r="H59" s="205">
        <f>'Табл. 5 ОМС'!I65</f>
        <v>0</v>
      </c>
      <c r="I59" s="205">
        <f>'Табл. 5 ОМС'!J65</f>
        <v>0</v>
      </c>
      <c r="J59" s="319" t="s">
        <v>132</v>
      </c>
      <c r="K59" s="319"/>
      <c r="L59" s="319"/>
      <c r="M59" s="319"/>
      <c r="N59" s="84"/>
      <c r="O59" s="84">
        <v>853</v>
      </c>
      <c r="P59" s="205">
        <f>'Табл. 4.3 платные ВСЕГО '!H65</f>
        <v>65000</v>
      </c>
      <c r="Q59" s="205">
        <f>'Табл. 4.3 платные ВСЕГО '!I65</f>
        <v>100000</v>
      </c>
      <c r="R59" s="205">
        <f>'Табл. 4.3 платные ВСЕГО '!J65</f>
        <v>100000</v>
      </c>
      <c r="S59" s="319" t="s">
        <v>132</v>
      </c>
      <c r="T59" s="319"/>
      <c r="U59" s="319"/>
      <c r="V59" s="319"/>
      <c r="W59" s="84"/>
      <c r="X59" s="84">
        <v>853</v>
      </c>
      <c r="Y59" s="205">
        <f>'Табл. 1  Гос.задание(2)'!H64</f>
        <v>0</v>
      </c>
      <c r="Z59" s="205">
        <f>'Табл. 1  Гос.задание(2)'!I64</f>
        <v>0</v>
      </c>
      <c r="AA59" s="205">
        <f>'Табл. 1  Гос.задание(2)'!J64</f>
        <v>0</v>
      </c>
      <c r="AB59" s="319" t="s">
        <v>132</v>
      </c>
      <c r="AC59" s="319"/>
      <c r="AD59" s="319"/>
      <c r="AE59" s="319"/>
      <c r="AF59" s="84"/>
      <c r="AG59" s="84">
        <v>853</v>
      </c>
      <c r="AH59" s="205">
        <f>'Табл. 2 Иные цели(2)'!H64</f>
        <v>0</v>
      </c>
      <c r="AI59" s="205">
        <f>'Табл. 2 Иные цели(2)'!I64</f>
        <v>0</v>
      </c>
      <c r="AJ59" s="205">
        <f>'Табл. 2 Иные цели(2)'!J64</f>
        <v>0</v>
      </c>
      <c r="AL59" s="204">
        <f t="shared" si="1"/>
        <v>475000</v>
      </c>
      <c r="AM59" s="204">
        <f t="shared" si="2"/>
        <v>100000</v>
      </c>
    </row>
    <row r="60" spans="1:39" ht="24.95" customHeight="1" x14ac:dyDescent="0.2">
      <c r="A60" s="326" t="s">
        <v>308</v>
      </c>
      <c r="B60" s="327"/>
      <c r="C60" s="327"/>
      <c r="D60" s="328"/>
      <c r="E60" s="84"/>
      <c r="F60" s="84">
        <v>853</v>
      </c>
      <c r="G60" s="205">
        <f>'Табл. 5 ОМС'!H66</f>
        <v>0</v>
      </c>
      <c r="H60" s="205">
        <f>'Табл. 5 ОМС'!I66</f>
        <v>0</v>
      </c>
      <c r="I60" s="205">
        <f>'Табл. 5 ОМС'!J66</f>
        <v>0</v>
      </c>
      <c r="J60" s="326" t="s">
        <v>308</v>
      </c>
      <c r="K60" s="327"/>
      <c r="L60" s="327"/>
      <c r="M60" s="328"/>
      <c r="N60" s="84"/>
      <c r="O60" s="84">
        <v>853</v>
      </c>
      <c r="P60" s="205">
        <f>'Табл. 4.3 платные ВСЕГО '!H66</f>
        <v>30000</v>
      </c>
      <c r="Q60" s="205">
        <f>'Табл. 4.3 платные ВСЕГО '!I66</f>
        <v>50000</v>
      </c>
      <c r="R60" s="205">
        <f>'Табл. 4.3 платные ВСЕГО '!J66</f>
        <v>50000</v>
      </c>
      <c r="S60" s="326" t="s">
        <v>308</v>
      </c>
      <c r="T60" s="327"/>
      <c r="U60" s="327"/>
      <c r="V60" s="328"/>
      <c r="W60" s="84"/>
      <c r="X60" s="84">
        <v>853</v>
      </c>
      <c r="Y60" s="205">
        <f>'Табл. 1  Гос.задание(2)'!H65</f>
        <v>0</v>
      </c>
      <c r="Z60" s="205">
        <f>'Табл. 1  Гос.задание(2)'!I65</f>
        <v>0</v>
      </c>
      <c r="AA60" s="205">
        <f>'Табл. 1  Гос.задание(2)'!J65</f>
        <v>0</v>
      </c>
      <c r="AB60" s="326" t="s">
        <v>308</v>
      </c>
      <c r="AC60" s="327"/>
      <c r="AD60" s="327"/>
      <c r="AE60" s="328"/>
      <c r="AF60" s="84"/>
      <c r="AG60" s="84">
        <v>853</v>
      </c>
      <c r="AH60" s="205">
        <f>'Табл. 2 Иные цели(2)'!H65</f>
        <v>0</v>
      </c>
      <c r="AI60" s="205">
        <f>'Табл. 2 Иные цели(2)'!I65</f>
        <v>0</v>
      </c>
      <c r="AJ60" s="205">
        <f>'Табл. 2 Иные цели(2)'!J65</f>
        <v>0</v>
      </c>
      <c r="AL60" s="204">
        <f t="shared" si="1"/>
        <v>30000</v>
      </c>
      <c r="AM60" s="204">
        <f t="shared" si="2"/>
        <v>50000</v>
      </c>
    </row>
    <row r="61" spans="1:39" ht="24.95" customHeight="1" x14ac:dyDescent="0.2">
      <c r="A61" s="319" t="s">
        <v>132</v>
      </c>
      <c r="B61" s="319"/>
      <c r="C61" s="319"/>
      <c r="D61" s="319"/>
      <c r="E61" s="84">
        <v>2330</v>
      </c>
      <c r="F61" s="84">
        <v>853</v>
      </c>
      <c r="G61" s="205">
        <f>'Табл. 5 ОМС'!H67</f>
        <v>357749.14</v>
      </c>
      <c r="H61" s="205">
        <f>'Табл. 5 ОМС'!I67</f>
        <v>350000</v>
      </c>
      <c r="I61" s="205">
        <f>'Табл. 5 ОМС'!J67</f>
        <v>320000</v>
      </c>
      <c r="J61" s="326" t="s">
        <v>309</v>
      </c>
      <c r="K61" s="327"/>
      <c r="L61" s="327"/>
      <c r="M61" s="328"/>
      <c r="N61" s="84">
        <v>2330</v>
      </c>
      <c r="O61" s="84">
        <v>853</v>
      </c>
      <c r="P61" s="205">
        <f>'Табл. 4.3 платные ВСЕГО '!H67</f>
        <v>102973.91</v>
      </c>
      <c r="Q61" s="205">
        <f>'Табл. 4.3 платные ВСЕГО '!I67</f>
        <v>150000</v>
      </c>
      <c r="R61" s="205">
        <f>'Табл. 4.3 платные ВСЕГО '!J67</f>
        <v>150000</v>
      </c>
      <c r="S61" s="319" t="s">
        <v>132</v>
      </c>
      <c r="T61" s="319"/>
      <c r="U61" s="319"/>
      <c r="V61" s="319"/>
      <c r="W61" s="84">
        <v>2330</v>
      </c>
      <c r="X61" s="84">
        <v>853</v>
      </c>
      <c r="Y61" s="205">
        <f>'Табл. 1  Гос.задание(2)'!H66</f>
        <v>0</v>
      </c>
      <c r="Z61" s="205">
        <f>'Табл. 1  Гос.задание(2)'!I66</f>
        <v>0</v>
      </c>
      <c r="AA61" s="205">
        <f>'Табл. 1  Гос.задание(2)'!J66</f>
        <v>0</v>
      </c>
      <c r="AB61" s="319" t="s">
        <v>132</v>
      </c>
      <c r="AC61" s="319"/>
      <c r="AD61" s="319"/>
      <c r="AE61" s="319"/>
      <c r="AF61" s="84">
        <v>2330</v>
      </c>
      <c r="AG61" s="84">
        <v>853</v>
      </c>
      <c r="AH61" s="205">
        <f>'Табл. 2 Иные цели(2)'!H66</f>
        <v>0</v>
      </c>
      <c r="AI61" s="205">
        <f>'Табл. 2 Иные цели(2)'!I66</f>
        <v>0</v>
      </c>
      <c r="AJ61" s="205">
        <f>'Табл. 2 Иные цели(2)'!J66</f>
        <v>0</v>
      </c>
      <c r="AL61" s="204">
        <f t="shared" si="1"/>
        <v>460723.05</v>
      </c>
      <c r="AM61" s="204">
        <f t="shared" si="2"/>
        <v>500000</v>
      </c>
    </row>
    <row r="62" spans="1:39" ht="24.95" customHeight="1" x14ac:dyDescent="0.2">
      <c r="A62" s="319" t="s">
        <v>133</v>
      </c>
      <c r="B62" s="319"/>
      <c r="C62" s="319"/>
      <c r="D62" s="319"/>
      <c r="E62" s="84">
        <v>2400</v>
      </c>
      <c r="F62" s="84" t="s">
        <v>9</v>
      </c>
      <c r="G62" s="205">
        <f>'Табл. 5 ОМС'!H68</f>
        <v>0</v>
      </c>
      <c r="H62" s="205">
        <f>'Табл. 5 ОМС'!I68</f>
        <v>0</v>
      </c>
      <c r="I62" s="205">
        <f>'Табл. 5 ОМС'!J68</f>
        <v>0</v>
      </c>
      <c r="J62" s="319" t="s">
        <v>133</v>
      </c>
      <c r="K62" s="319"/>
      <c r="L62" s="319"/>
      <c r="M62" s="319"/>
      <c r="N62" s="84">
        <v>2400</v>
      </c>
      <c r="O62" s="84" t="s">
        <v>9</v>
      </c>
      <c r="P62" s="205">
        <f>'Табл. 4.3 платные ВСЕГО '!H68</f>
        <v>0</v>
      </c>
      <c r="Q62" s="205">
        <f>'Табл. 4.3 платные ВСЕГО '!I68</f>
        <v>0</v>
      </c>
      <c r="R62" s="205">
        <f>'Табл. 4.3 платные ВСЕГО '!J68</f>
        <v>0</v>
      </c>
      <c r="S62" s="319" t="s">
        <v>133</v>
      </c>
      <c r="T62" s="319"/>
      <c r="U62" s="319"/>
      <c r="V62" s="319"/>
      <c r="W62" s="84">
        <v>2400</v>
      </c>
      <c r="X62" s="84" t="s">
        <v>9</v>
      </c>
      <c r="Y62" s="205">
        <f>'Табл. 1  Гос.задание(2)'!H67</f>
        <v>0</v>
      </c>
      <c r="Z62" s="205">
        <f>'Табл. 1  Гос.задание(2)'!I67</f>
        <v>0</v>
      </c>
      <c r="AA62" s="205">
        <f>'Табл. 1  Гос.задание(2)'!J67</f>
        <v>0</v>
      </c>
      <c r="AB62" s="472" t="s">
        <v>133</v>
      </c>
      <c r="AC62" s="472"/>
      <c r="AD62" s="472"/>
      <c r="AE62" s="472"/>
      <c r="AF62" s="85">
        <v>2400</v>
      </c>
      <c r="AG62" s="85" t="s">
        <v>9</v>
      </c>
      <c r="AH62" s="205">
        <f>'Табл. 2 Иные цели(2)'!H67</f>
        <v>0</v>
      </c>
      <c r="AI62" s="205">
        <f>'Табл. 2 Иные цели(2)'!I67</f>
        <v>0</v>
      </c>
      <c r="AJ62" s="205">
        <f>'Табл. 2 Иные цели(2)'!J67</f>
        <v>0</v>
      </c>
      <c r="AL62" s="204">
        <f t="shared" si="1"/>
        <v>0</v>
      </c>
      <c r="AM62" s="204">
        <f t="shared" si="2"/>
        <v>0</v>
      </c>
    </row>
    <row r="63" spans="1:39" ht="24.95" customHeight="1" x14ac:dyDescent="0.2">
      <c r="A63" s="319" t="s">
        <v>134</v>
      </c>
      <c r="B63" s="319"/>
      <c r="C63" s="319"/>
      <c r="D63" s="319"/>
      <c r="E63" s="84">
        <v>2410</v>
      </c>
      <c r="F63" s="84">
        <v>810</v>
      </c>
      <c r="G63" s="205">
        <f>'Табл. 5 ОМС'!H69</f>
        <v>0</v>
      </c>
      <c r="H63" s="205">
        <f>'Табл. 5 ОМС'!I69</f>
        <v>0</v>
      </c>
      <c r="I63" s="205">
        <f>'Табл. 5 ОМС'!J69</f>
        <v>0</v>
      </c>
      <c r="J63" s="319" t="s">
        <v>134</v>
      </c>
      <c r="K63" s="319"/>
      <c r="L63" s="319"/>
      <c r="M63" s="319"/>
      <c r="N63" s="84">
        <v>2410</v>
      </c>
      <c r="O63" s="84">
        <v>810</v>
      </c>
      <c r="P63" s="205">
        <f>'Табл. 4.3 платные ВСЕГО '!H69</f>
        <v>0</v>
      </c>
      <c r="Q63" s="205">
        <f>'Табл. 4.3 платные ВСЕГО '!I69</f>
        <v>0</v>
      </c>
      <c r="R63" s="205">
        <f>'Табл. 4.3 платные ВСЕГО '!J69</f>
        <v>0</v>
      </c>
      <c r="S63" s="319" t="s">
        <v>134</v>
      </c>
      <c r="T63" s="319"/>
      <c r="U63" s="319"/>
      <c r="V63" s="319"/>
      <c r="W63" s="84">
        <v>2410</v>
      </c>
      <c r="X63" s="84">
        <v>810</v>
      </c>
      <c r="Y63" s="205">
        <f>'Табл. 1  Гос.задание(2)'!H68</f>
        <v>0</v>
      </c>
      <c r="Z63" s="205">
        <f>'Табл. 1  Гос.задание(2)'!I68</f>
        <v>0</v>
      </c>
      <c r="AA63" s="205">
        <f>'Табл. 1  Гос.задание(2)'!J68</f>
        <v>0</v>
      </c>
      <c r="AB63" s="319" t="s">
        <v>134</v>
      </c>
      <c r="AC63" s="319"/>
      <c r="AD63" s="319"/>
      <c r="AE63" s="319"/>
      <c r="AF63" s="84">
        <v>2410</v>
      </c>
      <c r="AG63" s="84">
        <v>810</v>
      </c>
      <c r="AH63" s="205">
        <f>'Табл. 2 Иные цели(2)'!H68</f>
        <v>0</v>
      </c>
      <c r="AI63" s="205">
        <f>'Табл. 2 Иные цели(2)'!I68</f>
        <v>0</v>
      </c>
      <c r="AJ63" s="205">
        <f>'Табл. 2 Иные цели(2)'!J68</f>
        <v>0</v>
      </c>
      <c r="AL63" s="204">
        <f t="shared" si="1"/>
        <v>0</v>
      </c>
      <c r="AM63" s="204">
        <f t="shared" si="2"/>
        <v>0</v>
      </c>
    </row>
    <row r="64" spans="1:39" ht="24.95" customHeight="1" x14ac:dyDescent="0.2">
      <c r="A64" s="319" t="s">
        <v>135</v>
      </c>
      <c r="B64" s="319"/>
      <c r="C64" s="319"/>
      <c r="D64" s="319"/>
      <c r="E64" s="84">
        <v>2420</v>
      </c>
      <c r="F64" s="84">
        <v>862</v>
      </c>
      <c r="G64" s="205">
        <f>'Табл. 5 ОМС'!H70</f>
        <v>0</v>
      </c>
      <c r="H64" s="205">
        <f>'Табл. 5 ОМС'!I70</f>
        <v>0</v>
      </c>
      <c r="I64" s="205">
        <f>'Табл. 5 ОМС'!J70</f>
        <v>0</v>
      </c>
      <c r="J64" s="319" t="s">
        <v>135</v>
      </c>
      <c r="K64" s="319"/>
      <c r="L64" s="319"/>
      <c r="M64" s="319"/>
      <c r="N64" s="84">
        <v>2420</v>
      </c>
      <c r="O64" s="84">
        <v>862</v>
      </c>
      <c r="P64" s="205">
        <f>'Табл. 4.3 платные ВСЕГО '!H70</f>
        <v>0</v>
      </c>
      <c r="Q64" s="205">
        <f>'Табл. 4.3 платные ВСЕГО '!I70</f>
        <v>0</v>
      </c>
      <c r="R64" s="205">
        <f>'Табл. 4.3 платные ВСЕГО '!J70</f>
        <v>0</v>
      </c>
      <c r="S64" s="319" t="s">
        <v>135</v>
      </c>
      <c r="T64" s="319"/>
      <c r="U64" s="319"/>
      <c r="V64" s="319"/>
      <c r="W64" s="84">
        <v>2420</v>
      </c>
      <c r="X64" s="84">
        <v>862</v>
      </c>
      <c r="Y64" s="205">
        <f>'Табл. 1  Гос.задание(2)'!H69</f>
        <v>0</v>
      </c>
      <c r="Z64" s="205">
        <f>'Табл. 1  Гос.задание(2)'!I69</f>
        <v>0</v>
      </c>
      <c r="AA64" s="205">
        <f>'Табл. 1  Гос.задание(2)'!J69</f>
        <v>0</v>
      </c>
      <c r="AB64" s="319" t="s">
        <v>135</v>
      </c>
      <c r="AC64" s="319"/>
      <c r="AD64" s="319"/>
      <c r="AE64" s="319"/>
      <c r="AF64" s="84">
        <v>2420</v>
      </c>
      <c r="AG64" s="84">
        <v>862</v>
      </c>
      <c r="AH64" s="205">
        <f>'Табл. 2 Иные цели(2)'!H69</f>
        <v>0</v>
      </c>
      <c r="AI64" s="205">
        <f>'Табл. 2 Иные цели(2)'!I69</f>
        <v>0</v>
      </c>
      <c r="AJ64" s="205">
        <f>'Табл. 2 Иные цели(2)'!J69</f>
        <v>0</v>
      </c>
      <c r="AL64" s="204">
        <f t="shared" si="1"/>
        <v>0</v>
      </c>
      <c r="AM64" s="204">
        <f t="shared" si="2"/>
        <v>0</v>
      </c>
    </row>
    <row r="65" spans="1:49" ht="24.95" customHeight="1" x14ac:dyDescent="0.2">
      <c r="A65" s="319" t="s">
        <v>136</v>
      </c>
      <c r="B65" s="319"/>
      <c r="C65" s="319"/>
      <c r="D65" s="319"/>
      <c r="E65" s="84">
        <v>2430</v>
      </c>
      <c r="F65" s="84">
        <v>863</v>
      </c>
      <c r="G65" s="205">
        <f>'Табл. 5 ОМС'!H71</f>
        <v>0</v>
      </c>
      <c r="H65" s="205">
        <f>'Табл. 5 ОМС'!I71</f>
        <v>0</v>
      </c>
      <c r="I65" s="205">
        <f>'Табл. 5 ОМС'!J71</f>
        <v>0</v>
      </c>
      <c r="J65" s="319" t="s">
        <v>136</v>
      </c>
      <c r="K65" s="319"/>
      <c r="L65" s="319"/>
      <c r="M65" s="319"/>
      <c r="N65" s="84">
        <v>2430</v>
      </c>
      <c r="O65" s="84">
        <v>863</v>
      </c>
      <c r="P65" s="205">
        <f>'Табл. 4.3 платные ВСЕГО '!H71</f>
        <v>0</v>
      </c>
      <c r="Q65" s="205">
        <f>'Табл. 4.3 платные ВСЕГО '!I71</f>
        <v>0</v>
      </c>
      <c r="R65" s="205">
        <f>'Табл. 4.3 платные ВСЕГО '!J71</f>
        <v>0</v>
      </c>
      <c r="S65" s="319" t="s">
        <v>136</v>
      </c>
      <c r="T65" s="319"/>
      <c r="U65" s="319"/>
      <c r="V65" s="319"/>
      <c r="W65" s="84">
        <v>2430</v>
      </c>
      <c r="X65" s="84">
        <v>863</v>
      </c>
      <c r="Y65" s="205">
        <f>'Табл. 1  Гос.задание(2)'!H70</f>
        <v>0</v>
      </c>
      <c r="Z65" s="205">
        <f>'Табл. 1  Гос.задание(2)'!I70</f>
        <v>0</v>
      </c>
      <c r="AA65" s="205">
        <f>'Табл. 1  Гос.задание(2)'!J70</f>
        <v>0</v>
      </c>
      <c r="AB65" s="319" t="s">
        <v>136</v>
      </c>
      <c r="AC65" s="319"/>
      <c r="AD65" s="319"/>
      <c r="AE65" s="319"/>
      <c r="AF65" s="84">
        <v>2430</v>
      </c>
      <c r="AG65" s="84">
        <v>863</v>
      </c>
      <c r="AH65" s="205">
        <f>'Табл. 2 Иные цели(2)'!H70</f>
        <v>0</v>
      </c>
      <c r="AI65" s="205">
        <f>'Табл. 2 Иные цели(2)'!I70</f>
        <v>0</v>
      </c>
      <c r="AJ65" s="205">
        <f>'Табл. 2 Иные цели(2)'!J70</f>
        <v>0</v>
      </c>
      <c r="AL65" s="204">
        <f t="shared" si="1"/>
        <v>0</v>
      </c>
      <c r="AM65" s="204">
        <f t="shared" si="2"/>
        <v>0</v>
      </c>
    </row>
    <row r="66" spans="1:49" ht="24.95" customHeight="1" x14ac:dyDescent="0.2">
      <c r="A66" s="319" t="s">
        <v>137</v>
      </c>
      <c r="B66" s="319"/>
      <c r="C66" s="319"/>
      <c r="D66" s="319"/>
      <c r="E66" s="84">
        <v>2500</v>
      </c>
      <c r="F66" s="84" t="s">
        <v>9</v>
      </c>
      <c r="G66" s="205">
        <f>'Табл. 5 ОМС'!H75</f>
        <v>0</v>
      </c>
      <c r="H66" s="205">
        <f>'Табл. 5 ОМС'!I75</f>
        <v>0</v>
      </c>
      <c r="I66" s="205">
        <f>'Табл. 5 ОМС'!J75</f>
        <v>0</v>
      </c>
      <c r="J66" s="319" t="s">
        <v>137</v>
      </c>
      <c r="K66" s="319"/>
      <c r="L66" s="319"/>
      <c r="M66" s="319"/>
      <c r="N66" s="84">
        <v>2500</v>
      </c>
      <c r="O66" s="84" t="s">
        <v>9</v>
      </c>
      <c r="P66" s="205">
        <f>'Табл. 4.3 платные ВСЕГО '!H75</f>
        <v>125000</v>
      </c>
      <c r="Q66" s="205">
        <f>'Табл. 4.3 платные ВСЕГО '!I75</f>
        <v>0</v>
      </c>
      <c r="R66" s="205">
        <f>'Табл. 4.3 платные ВСЕГО '!J75</f>
        <v>0</v>
      </c>
      <c r="S66" s="319" t="s">
        <v>137</v>
      </c>
      <c r="T66" s="319"/>
      <c r="U66" s="319"/>
      <c r="V66" s="319"/>
      <c r="W66" s="84">
        <v>2500</v>
      </c>
      <c r="X66" s="84" t="s">
        <v>9</v>
      </c>
      <c r="Y66" s="205">
        <f>'Табл. 1  Гос.задание(2)'!H74</f>
        <v>0</v>
      </c>
      <c r="Z66" s="205">
        <f>'Табл. 1  Гос.задание(2)'!I74</f>
        <v>0</v>
      </c>
      <c r="AA66" s="205">
        <f>'Табл. 1  Гос.задание(2)'!J74</f>
        <v>0</v>
      </c>
      <c r="AB66" s="472" t="s">
        <v>137</v>
      </c>
      <c r="AC66" s="472"/>
      <c r="AD66" s="472"/>
      <c r="AE66" s="472"/>
      <c r="AF66" s="85">
        <v>2500</v>
      </c>
      <c r="AG66" s="85" t="s">
        <v>9</v>
      </c>
      <c r="AH66" s="205">
        <f>'Табл. 2 Иные цели(2)'!H74</f>
        <v>0</v>
      </c>
      <c r="AI66" s="205">
        <f>'Табл. 2 Иные цели(2)'!I74</f>
        <v>0</v>
      </c>
      <c r="AJ66" s="205">
        <f>'Табл. 2 Иные цели(2)'!J74</f>
        <v>0</v>
      </c>
      <c r="AL66" s="204">
        <f t="shared" si="1"/>
        <v>125000</v>
      </c>
      <c r="AM66" s="204">
        <f t="shared" si="2"/>
        <v>0</v>
      </c>
    </row>
    <row r="67" spans="1:49" ht="24.95" customHeight="1" x14ac:dyDescent="0.2">
      <c r="A67" s="319" t="s">
        <v>138</v>
      </c>
      <c r="B67" s="319"/>
      <c r="C67" s="319"/>
      <c r="D67" s="319"/>
      <c r="E67" s="84">
        <v>2520</v>
      </c>
      <c r="F67" s="84">
        <v>831</v>
      </c>
      <c r="G67" s="205">
        <f>'Табл. 5 ОМС'!H76</f>
        <v>0</v>
      </c>
      <c r="H67" s="205">
        <f>'Табл. 5 ОМС'!I76</f>
        <v>0</v>
      </c>
      <c r="I67" s="205">
        <f>'Табл. 5 ОМС'!J76</f>
        <v>0</v>
      </c>
      <c r="J67" s="319" t="s">
        <v>138</v>
      </c>
      <c r="K67" s="319"/>
      <c r="L67" s="319"/>
      <c r="M67" s="319"/>
      <c r="N67" s="84">
        <v>2520</v>
      </c>
      <c r="O67" s="84">
        <v>831</v>
      </c>
      <c r="P67" s="205">
        <f>'Табл. 4.3 платные ВСЕГО '!H76</f>
        <v>110000</v>
      </c>
      <c r="Q67" s="205">
        <f>'Табл. 4.3 платные ВСЕГО '!I76</f>
        <v>0</v>
      </c>
      <c r="R67" s="205">
        <f>'Табл. 4.3 платные ВСЕГО '!J76</f>
        <v>0</v>
      </c>
      <c r="S67" s="319" t="s">
        <v>138</v>
      </c>
      <c r="T67" s="319"/>
      <c r="U67" s="319"/>
      <c r="V67" s="319"/>
      <c r="W67" s="84">
        <v>2520</v>
      </c>
      <c r="X67" s="84">
        <v>831</v>
      </c>
      <c r="Y67" s="205">
        <f>'Табл. 1  Гос.задание(2)'!H75</f>
        <v>0</v>
      </c>
      <c r="Z67" s="205">
        <f>'Табл. 1  Гос.задание(2)'!I75</f>
        <v>0</v>
      </c>
      <c r="AA67" s="205">
        <f>'Табл. 1  Гос.задание(2)'!J75</f>
        <v>0</v>
      </c>
      <c r="AB67" s="319" t="s">
        <v>138</v>
      </c>
      <c r="AC67" s="319"/>
      <c r="AD67" s="319"/>
      <c r="AE67" s="319"/>
      <c r="AF67" s="84">
        <v>2520</v>
      </c>
      <c r="AG67" s="84">
        <v>831</v>
      </c>
      <c r="AH67" s="205">
        <f>'Табл. 2 Иные цели(2)'!H75</f>
        <v>0</v>
      </c>
      <c r="AI67" s="205">
        <f>'Табл. 2 Иные цели(2)'!I75</f>
        <v>0</v>
      </c>
      <c r="AJ67" s="205">
        <f>'Табл. 2 Иные цели(2)'!J75</f>
        <v>0</v>
      </c>
      <c r="AL67" s="204">
        <f t="shared" si="1"/>
        <v>110000</v>
      </c>
      <c r="AM67" s="204">
        <f t="shared" si="2"/>
        <v>0</v>
      </c>
    </row>
    <row r="68" spans="1:49" ht="24.95" customHeight="1" x14ac:dyDescent="0.2">
      <c r="A68" s="591" t="s">
        <v>139</v>
      </c>
      <c r="B68" s="591"/>
      <c r="C68" s="591"/>
      <c r="D68" s="591"/>
      <c r="E68" s="212">
        <v>2600</v>
      </c>
      <c r="F68" s="212" t="s">
        <v>9</v>
      </c>
      <c r="G68" s="216">
        <f>G69+G70+G71+G72</f>
        <v>36031262.280000001</v>
      </c>
      <c r="H68" s="216">
        <f>H69+H70+H71+H72</f>
        <v>22081515.399999999</v>
      </c>
      <c r="I68" s="216">
        <f>I69+I70+I71+I72</f>
        <v>17076554.399999999</v>
      </c>
      <c r="J68" s="591" t="s">
        <v>139</v>
      </c>
      <c r="K68" s="591"/>
      <c r="L68" s="591"/>
      <c r="M68" s="591"/>
      <c r="N68" s="212">
        <v>2600</v>
      </c>
      <c r="O68" s="212" t="s">
        <v>9</v>
      </c>
      <c r="P68" s="216">
        <f>P69+P70+P71+P72</f>
        <v>2832892.38</v>
      </c>
      <c r="Q68" s="216">
        <f>Q69+Q70+Q71+Q72</f>
        <v>2887050</v>
      </c>
      <c r="R68" s="216">
        <f>R69+R70+R71+R72</f>
        <v>2418950</v>
      </c>
      <c r="S68" s="591" t="s">
        <v>139</v>
      </c>
      <c r="T68" s="591"/>
      <c r="U68" s="591"/>
      <c r="V68" s="591"/>
      <c r="W68" s="212">
        <v>2600</v>
      </c>
      <c r="X68" s="212" t="s">
        <v>9</v>
      </c>
      <c r="Y68" s="216">
        <f>Y69+Y70+Y71+Y72</f>
        <v>1051357.3500000001</v>
      </c>
      <c r="Z68" s="216">
        <f>Z69+Z70+Z71+Z72</f>
        <v>660117.19999999995</v>
      </c>
      <c r="AA68" s="216">
        <f>AA69+AA70+AA71+AA72</f>
        <v>558055.5</v>
      </c>
      <c r="AB68" s="590" t="s">
        <v>374</v>
      </c>
      <c r="AC68" s="590"/>
      <c r="AD68" s="590"/>
      <c r="AE68" s="590"/>
      <c r="AF68" s="215">
        <v>2600</v>
      </c>
      <c r="AG68" s="212" t="s">
        <v>9</v>
      </c>
      <c r="AH68" s="216">
        <f>AH69+AH70+AH71+AH72</f>
        <v>12855800</v>
      </c>
      <c r="AI68" s="216">
        <f>AI69+AI70+AI71+AI72</f>
        <v>14800000</v>
      </c>
      <c r="AJ68" s="216">
        <f>AJ69+AJ70+AJ71+AJ72</f>
        <v>0</v>
      </c>
      <c r="AK68" s="213"/>
      <c r="AL68" s="214">
        <f t="shared" si="1"/>
        <v>52771312.009999998</v>
      </c>
      <c r="AM68" s="204">
        <f t="shared" si="2"/>
        <v>40428682.600000001</v>
      </c>
      <c r="AN68" s="213"/>
      <c r="AO68" s="213"/>
      <c r="AP68" s="213"/>
      <c r="AQ68" s="213"/>
      <c r="AR68" s="213"/>
      <c r="AS68" s="213"/>
      <c r="AT68" s="213"/>
      <c r="AU68" s="213"/>
      <c r="AV68" s="213"/>
      <c r="AW68" s="213"/>
    </row>
    <row r="69" spans="1:49" ht="24.95" customHeight="1" x14ac:dyDescent="0.2">
      <c r="A69" s="319" t="s">
        <v>140</v>
      </c>
      <c r="B69" s="319"/>
      <c r="C69" s="319"/>
      <c r="D69" s="319"/>
      <c r="E69" s="84">
        <v>2610</v>
      </c>
      <c r="F69" s="84">
        <v>241</v>
      </c>
      <c r="G69" s="205">
        <f>'Табл. 5 ОМС'!H78</f>
        <v>0</v>
      </c>
      <c r="H69" s="205">
        <f>'Табл. 5 ОМС'!I78</f>
        <v>0</v>
      </c>
      <c r="I69" s="205">
        <f>'Табл. 5 ОМС'!J78</f>
        <v>0</v>
      </c>
      <c r="J69" s="319" t="s">
        <v>140</v>
      </c>
      <c r="K69" s="319"/>
      <c r="L69" s="319"/>
      <c r="M69" s="319"/>
      <c r="N69" s="84">
        <v>2610</v>
      </c>
      <c r="O69" s="84">
        <v>241</v>
      </c>
      <c r="P69" s="205">
        <f>'Табл. 4.3 платные ВСЕГО '!H79</f>
        <v>0</v>
      </c>
      <c r="Q69" s="205">
        <f>'Табл. 4.3 платные ВСЕГО '!I79</f>
        <v>0</v>
      </c>
      <c r="R69" s="205">
        <f>'Табл. 4.3 платные ВСЕГО '!J79</f>
        <v>0</v>
      </c>
      <c r="S69" s="319" t="s">
        <v>140</v>
      </c>
      <c r="T69" s="319"/>
      <c r="U69" s="319"/>
      <c r="V69" s="319"/>
      <c r="W69" s="84">
        <v>2610</v>
      </c>
      <c r="X69" s="84">
        <v>241</v>
      </c>
      <c r="Y69" s="205">
        <f>'Табл. 1  Гос.задание(2)'!H77</f>
        <v>0</v>
      </c>
      <c r="Z69" s="205">
        <f>'Табл. 1  Гос.задание(2)'!I77</f>
        <v>0</v>
      </c>
      <c r="AA69" s="205">
        <f>'Табл. 1  Гос.задание(2)'!J77</f>
        <v>0</v>
      </c>
      <c r="AB69" s="319" t="s">
        <v>140</v>
      </c>
      <c r="AC69" s="319"/>
      <c r="AD69" s="319"/>
      <c r="AE69" s="319"/>
      <c r="AF69" s="84">
        <v>2610</v>
      </c>
      <c r="AG69" s="84">
        <v>241</v>
      </c>
      <c r="AH69" s="205">
        <f>'Табл. 2 Иные цели(2)'!H77</f>
        <v>0</v>
      </c>
      <c r="AI69" s="205">
        <f>'Табл. 2 Иные цели(2)'!I77</f>
        <v>0</v>
      </c>
      <c r="AJ69" s="205">
        <f>'Табл. 2 Иные цели(2)'!J77</f>
        <v>0</v>
      </c>
      <c r="AL69" s="204">
        <f t="shared" si="1"/>
        <v>0</v>
      </c>
      <c r="AM69" s="204">
        <f t="shared" si="2"/>
        <v>0</v>
      </c>
    </row>
    <row r="70" spans="1:49" ht="24.95" customHeight="1" x14ac:dyDescent="0.2">
      <c r="A70" s="319" t="s">
        <v>141</v>
      </c>
      <c r="B70" s="319"/>
      <c r="C70" s="319"/>
      <c r="D70" s="319"/>
      <c r="E70" s="84">
        <v>2620</v>
      </c>
      <c r="F70" s="84">
        <v>242</v>
      </c>
      <c r="G70" s="205">
        <f>'Табл. 5 ОМС'!H79</f>
        <v>0</v>
      </c>
      <c r="H70" s="205">
        <f>'Табл. 5 ОМС'!I79</f>
        <v>0</v>
      </c>
      <c r="I70" s="205">
        <f>'Табл. 5 ОМС'!J79</f>
        <v>0</v>
      </c>
      <c r="J70" s="319" t="s">
        <v>141</v>
      </c>
      <c r="K70" s="319"/>
      <c r="L70" s="319"/>
      <c r="M70" s="319"/>
      <c r="N70" s="84">
        <v>2620</v>
      </c>
      <c r="O70" s="84">
        <v>242</v>
      </c>
      <c r="P70" s="205">
        <f>'Табл. 4.3 платные ВСЕГО '!H80</f>
        <v>0</v>
      </c>
      <c r="Q70" s="205">
        <f>'Табл. 4.3 платные ВСЕГО '!I80</f>
        <v>0</v>
      </c>
      <c r="R70" s="205">
        <f>'Табл. 4.3 платные ВСЕГО '!J80</f>
        <v>0</v>
      </c>
      <c r="S70" s="319" t="s">
        <v>141</v>
      </c>
      <c r="T70" s="319"/>
      <c r="U70" s="319"/>
      <c r="V70" s="319"/>
      <c r="W70" s="84">
        <v>2620</v>
      </c>
      <c r="X70" s="84">
        <v>242</v>
      </c>
      <c r="Y70" s="205">
        <f>'Табл. 1  Гос.задание(2)'!H78</f>
        <v>0</v>
      </c>
      <c r="Z70" s="205">
        <f>'Табл. 1  Гос.задание(2)'!I78</f>
        <v>0</v>
      </c>
      <c r="AA70" s="205">
        <f>'Табл. 1  Гос.задание(2)'!J78</f>
        <v>0</v>
      </c>
      <c r="AB70" s="319" t="s">
        <v>141</v>
      </c>
      <c r="AC70" s="319"/>
      <c r="AD70" s="319"/>
      <c r="AE70" s="319"/>
      <c r="AF70" s="84">
        <v>2620</v>
      </c>
      <c r="AG70" s="84">
        <v>242</v>
      </c>
      <c r="AH70" s="205">
        <f>'Табл. 2 Иные цели(2)'!H78</f>
        <v>0</v>
      </c>
      <c r="AI70" s="205">
        <f>'Табл. 2 Иные цели(2)'!I78</f>
        <v>0</v>
      </c>
      <c r="AJ70" s="205">
        <f>'Табл. 2 Иные цели(2)'!J78</f>
        <v>0</v>
      </c>
      <c r="AL70" s="204">
        <f t="shared" si="1"/>
        <v>0</v>
      </c>
      <c r="AM70" s="204">
        <f t="shared" si="2"/>
        <v>0</v>
      </c>
    </row>
    <row r="71" spans="1:49" ht="24.95" customHeight="1" x14ac:dyDescent="0.2">
      <c r="A71" s="319" t="s">
        <v>263</v>
      </c>
      <c r="B71" s="319"/>
      <c r="C71" s="319"/>
      <c r="D71" s="319"/>
      <c r="E71" s="84">
        <v>2630</v>
      </c>
      <c r="F71" s="84">
        <v>243</v>
      </c>
      <c r="G71" s="205">
        <f>'Табл. 5 ОМС'!H80</f>
        <v>0</v>
      </c>
      <c r="H71" s="205">
        <f>'Табл. 5 ОМС'!I80</f>
        <v>0</v>
      </c>
      <c r="I71" s="205">
        <f>'Табл. 5 ОМС'!J80</f>
        <v>0</v>
      </c>
      <c r="J71" s="319" t="s">
        <v>263</v>
      </c>
      <c r="K71" s="319"/>
      <c r="L71" s="319"/>
      <c r="M71" s="319"/>
      <c r="N71" s="84">
        <v>2630</v>
      </c>
      <c r="O71" s="84">
        <v>243</v>
      </c>
      <c r="P71" s="205">
        <f>'Табл. 4.3 платные ВСЕГО '!H82</f>
        <v>0</v>
      </c>
      <c r="Q71" s="205">
        <f>'Табл. 4.3 платные ВСЕГО '!I82</f>
        <v>36000</v>
      </c>
      <c r="R71" s="205">
        <f>'Табл. 4.3 платные ВСЕГО '!J82</f>
        <v>0</v>
      </c>
      <c r="S71" s="319" t="s">
        <v>263</v>
      </c>
      <c r="T71" s="319"/>
      <c r="U71" s="319"/>
      <c r="V71" s="319"/>
      <c r="W71" s="84">
        <v>2630</v>
      </c>
      <c r="X71" s="84">
        <v>243</v>
      </c>
      <c r="Y71" s="205">
        <f>'Табл. 1  Гос.задание(2)'!H79</f>
        <v>0</v>
      </c>
      <c r="Z71" s="205">
        <f>'Табл. 1  Гос.задание(2)'!I79</f>
        <v>0</v>
      </c>
      <c r="AA71" s="205">
        <f>'Табл. 1  Гос.задание(2)'!J79</f>
        <v>0</v>
      </c>
      <c r="AB71" s="319" t="s">
        <v>263</v>
      </c>
      <c r="AC71" s="319"/>
      <c r="AD71" s="319"/>
      <c r="AE71" s="319"/>
      <c r="AF71" s="84">
        <v>2630</v>
      </c>
      <c r="AG71" s="84">
        <v>243</v>
      </c>
      <c r="AH71" s="206">
        <f>'Табл. 2 Иные цели(2)'!H79</f>
        <v>0</v>
      </c>
      <c r="AI71" s="206">
        <f>'Табл. 2 Иные цели(2)'!I79</f>
        <v>8800000</v>
      </c>
      <c r="AJ71" s="206">
        <f>'Табл. 2 Иные цели(2)'!J79</f>
        <v>0</v>
      </c>
      <c r="AK71">
        <f>AL71</f>
        <v>0</v>
      </c>
      <c r="AL71" s="204">
        <f t="shared" si="1"/>
        <v>0</v>
      </c>
      <c r="AM71" s="204">
        <f t="shared" si="2"/>
        <v>8836000</v>
      </c>
    </row>
    <row r="72" spans="1:49" ht="24.95" customHeight="1" x14ac:dyDescent="0.2">
      <c r="A72" s="319" t="s">
        <v>142</v>
      </c>
      <c r="B72" s="319"/>
      <c r="C72" s="319"/>
      <c r="D72" s="319"/>
      <c r="E72" s="84">
        <v>2640</v>
      </c>
      <c r="F72" s="84">
        <v>244</v>
      </c>
      <c r="G72" s="207">
        <f>'Табл. 5 ОМС'!H81</f>
        <v>36031262.280000001</v>
      </c>
      <c r="H72" s="207">
        <f>'Табл. 5 ОМС'!I81</f>
        <v>22081515.399999999</v>
      </c>
      <c r="I72" s="207">
        <f>'Табл. 5 ОМС'!J81</f>
        <v>17076554.399999999</v>
      </c>
      <c r="J72" s="319" t="s">
        <v>142</v>
      </c>
      <c r="K72" s="319"/>
      <c r="L72" s="319"/>
      <c r="M72" s="319"/>
      <c r="N72" s="84">
        <v>2640</v>
      </c>
      <c r="O72" s="84">
        <v>244</v>
      </c>
      <c r="P72" s="207">
        <f>'Табл. 4.3 платные ВСЕГО '!H83</f>
        <v>2832892.38</v>
      </c>
      <c r="Q72" s="207">
        <f>'Табл. 4.3 платные ВСЕГО '!I83</f>
        <v>2851050</v>
      </c>
      <c r="R72" s="207">
        <f>'Табл. 4.3 платные ВСЕГО '!J83</f>
        <v>2418950</v>
      </c>
      <c r="S72" s="319" t="s">
        <v>142</v>
      </c>
      <c r="T72" s="319"/>
      <c r="U72" s="319"/>
      <c r="V72" s="319"/>
      <c r="W72" s="84">
        <v>2640</v>
      </c>
      <c r="X72" s="84">
        <v>244</v>
      </c>
      <c r="Y72" s="205">
        <f>'Табл. 1  Гос.задание(2)'!H80</f>
        <v>1051357.3500000001</v>
      </c>
      <c r="Z72" s="205">
        <f>'Табл. 1  Гос.задание(2)'!I80</f>
        <v>660117.19999999995</v>
      </c>
      <c r="AA72" s="205">
        <f>'Табл. 1  Гос.задание(2)'!J80</f>
        <v>558055.5</v>
      </c>
      <c r="AB72" s="319" t="s">
        <v>142</v>
      </c>
      <c r="AC72" s="319"/>
      <c r="AD72" s="319"/>
      <c r="AE72" s="319"/>
      <c r="AF72" s="84">
        <v>2640</v>
      </c>
      <c r="AG72" s="84">
        <v>244</v>
      </c>
      <c r="AH72" s="206">
        <f>'Табл. 2 Иные цели(2)'!H80</f>
        <v>12855800</v>
      </c>
      <c r="AI72" s="206">
        <f>'Табл. 2 Иные цели(2)'!I80</f>
        <v>6000000</v>
      </c>
      <c r="AJ72" s="206">
        <f>'Табл. 2 Иные цели(2)'!J80</f>
        <v>0</v>
      </c>
      <c r="AK72">
        <f>SUM(AL73:AL87)</f>
        <v>52726172.009999998</v>
      </c>
      <c r="AL72" s="203">
        <f t="shared" ref="AL72:AL96" si="3">AH72+Y72+P72+G72</f>
        <v>52771312.009999998</v>
      </c>
      <c r="AM72" s="204">
        <f t="shared" si="2"/>
        <v>31592682.600000001</v>
      </c>
    </row>
    <row r="73" spans="1:49" ht="24.95" customHeight="1" x14ac:dyDescent="0.2">
      <c r="A73" s="319" t="s">
        <v>37</v>
      </c>
      <c r="B73" s="319"/>
      <c r="C73" s="319"/>
      <c r="D73" s="319"/>
      <c r="E73" s="84"/>
      <c r="F73" s="84"/>
      <c r="G73" s="205">
        <f>'Табл. 5 ОМС'!H82</f>
        <v>0</v>
      </c>
      <c r="H73" s="205">
        <f>'Табл. 5 ОМС'!I82</f>
        <v>0</v>
      </c>
      <c r="I73" s="205">
        <f>'Табл. 5 ОМС'!J82</f>
        <v>0</v>
      </c>
      <c r="J73" s="319" t="s">
        <v>37</v>
      </c>
      <c r="K73" s="319"/>
      <c r="L73" s="319"/>
      <c r="M73" s="319"/>
      <c r="N73" s="84"/>
      <c r="O73" s="84"/>
      <c r="P73" s="205">
        <f>'Табл. 4.3 платные ВСЕГО '!H84</f>
        <v>0</v>
      </c>
      <c r="Q73" s="205">
        <f>'Табл. 4.3 платные ВСЕГО '!I84</f>
        <v>0</v>
      </c>
      <c r="R73" s="205">
        <f>'Табл. 4.3 платные ВСЕГО '!J84</f>
        <v>0</v>
      </c>
      <c r="S73" s="319" t="s">
        <v>37</v>
      </c>
      <c r="T73" s="319"/>
      <c r="U73" s="319"/>
      <c r="V73" s="319"/>
      <c r="W73" s="84"/>
      <c r="X73" s="84"/>
      <c r="Y73" s="205">
        <f>'Табл. 1  Гос.задание(2)'!H81</f>
        <v>0</v>
      </c>
      <c r="Z73" s="205">
        <f>'Табл. 1  Гос.задание(2)'!I81</f>
        <v>0</v>
      </c>
      <c r="AA73" s="205">
        <f>'Табл. 1  Гос.задание(2)'!J81</f>
        <v>0</v>
      </c>
      <c r="AB73" s="319" t="s">
        <v>37</v>
      </c>
      <c r="AC73" s="319"/>
      <c r="AD73" s="319"/>
      <c r="AE73" s="319"/>
      <c r="AF73" s="84"/>
      <c r="AG73" s="84"/>
      <c r="AH73" s="205">
        <f>'Табл. 2 Иные цели(2)'!H81</f>
        <v>0</v>
      </c>
      <c r="AI73" s="205">
        <f>'Табл. 2 Иные цели(2)'!I81</f>
        <v>0</v>
      </c>
      <c r="AJ73" s="205">
        <f>'Табл. 2 Иные цели(2)'!J81</f>
        <v>0</v>
      </c>
      <c r="AL73" s="204">
        <f t="shared" si="3"/>
        <v>0</v>
      </c>
      <c r="AM73" s="204">
        <f t="shared" si="2"/>
        <v>0</v>
      </c>
    </row>
    <row r="74" spans="1:49" ht="24.95" customHeight="1" x14ac:dyDescent="0.2">
      <c r="A74" s="271" t="s">
        <v>310</v>
      </c>
      <c r="B74" s="272"/>
      <c r="C74" s="272"/>
      <c r="D74" s="273"/>
      <c r="E74" s="109">
        <v>2641</v>
      </c>
      <c r="F74" s="109">
        <v>244</v>
      </c>
      <c r="G74" s="205">
        <f>'Табл. 5 ОМС'!H83</f>
        <v>509370</v>
      </c>
      <c r="H74" s="205">
        <f>'Табл. 5 ОМС'!I83</f>
        <v>414370</v>
      </c>
      <c r="I74" s="205">
        <f>'Табл. 5 ОМС'!J83</f>
        <v>414370</v>
      </c>
      <c r="J74" s="271" t="s">
        <v>310</v>
      </c>
      <c r="K74" s="272"/>
      <c r="L74" s="272"/>
      <c r="M74" s="273"/>
      <c r="N74" s="109">
        <v>2641</v>
      </c>
      <c r="O74" s="109">
        <v>244</v>
      </c>
      <c r="P74" s="205">
        <f>'Табл. 4.3 платные ВСЕГО '!H85</f>
        <v>21630</v>
      </c>
      <c r="Q74" s="205">
        <f>'Табл. 4.3 платные ВСЕГО '!I85</f>
        <v>21630</v>
      </c>
      <c r="R74" s="205">
        <f>'Табл. 4.3 платные ВСЕГО '!J85</f>
        <v>21630</v>
      </c>
      <c r="S74" s="271" t="s">
        <v>310</v>
      </c>
      <c r="T74" s="272"/>
      <c r="U74" s="272"/>
      <c r="V74" s="273"/>
      <c r="W74" s="109">
        <v>2641</v>
      </c>
      <c r="X74" s="109">
        <v>244</v>
      </c>
      <c r="Y74" s="205">
        <f>'Табл. 1  Гос.задание(2)'!H82</f>
        <v>0</v>
      </c>
      <c r="Z74" s="205">
        <f>'Табл. 1  Гос.задание(2)'!I82</f>
        <v>0</v>
      </c>
      <c r="AA74" s="205">
        <f>'Табл. 1  Гос.задание(2)'!J82</f>
        <v>0</v>
      </c>
      <c r="AB74" s="271" t="s">
        <v>310</v>
      </c>
      <c r="AC74" s="272"/>
      <c r="AD74" s="272"/>
      <c r="AE74" s="273"/>
      <c r="AF74" s="109">
        <v>2641</v>
      </c>
      <c r="AG74" s="109">
        <v>244</v>
      </c>
      <c r="AH74" s="205">
        <f>'Табл. 2 Иные цели(2)'!H82</f>
        <v>0</v>
      </c>
      <c r="AI74" s="205">
        <f>'Табл. 2 Иные цели(2)'!I82</f>
        <v>0</v>
      </c>
      <c r="AJ74" s="205">
        <f>'Табл. 2 Иные цели(2)'!J82</f>
        <v>0</v>
      </c>
      <c r="AL74" s="204">
        <f t="shared" si="3"/>
        <v>531000</v>
      </c>
      <c r="AM74" s="204">
        <f t="shared" si="2"/>
        <v>436000</v>
      </c>
    </row>
    <row r="75" spans="1:49" ht="24.95" customHeight="1" x14ac:dyDescent="0.2">
      <c r="A75" s="271" t="s">
        <v>311</v>
      </c>
      <c r="B75" s="272"/>
      <c r="C75" s="272"/>
      <c r="D75" s="273"/>
      <c r="E75" s="109">
        <v>2642</v>
      </c>
      <c r="F75" s="109">
        <v>244</v>
      </c>
      <c r="G75" s="205">
        <f>'Табл. 5 ОМС'!H84</f>
        <v>105000</v>
      </c>
      <c r="H75" s="205">
        <f>'Табл. 5 ОМС'!I84</f>
        <v>5000</v>
      </c>
      <c r="I75" s="205">
        <f>'Табл. 5 ОМС'!J84</f>
        <v>5000</v>
      </c>
      <c r="J75" s="271" t="s">
        <v>311</v>
      </c>
      <c r="K75" s="272"/>
      <c r="L75" s="272"/>
      <c r="M75" s="273"/>
      <c r="N75" s="109">
        <v>2642</v>
      </c>
      <c r="O75" s="109">
        <v>244</v>
      </c>
      <c r="P75" s="205">
        <f>'Табл. 4.3 платные ВСЕГО '!H86</f>
        <v>6000</v>
      </c>
      <c r="Q75" s="205">
        <f>'Табл. 4.3 платные ВСЕГО '!I86</f>
        <v>6000</v>
      </c>
      <c r="R75" s="205">
        <f>'Табл. 4.3 платные ВСЕГО '!J86</f>
        <v>6000</v>
      </c>
      <c r="S75" s="271" t="s">
        <v>311</v>
      </c>
      <c r="T75" s="272"/>
      <c r="U75" s="272"/>
      <c r="V75" s="273"/>
      <c r="W75" s="109">
        <v>2642</v>
      </c>
      <c r="X75" s="109">
        <v>244</v>
      </c>
      <c r="Y75" s="205">
        <f>'Табл. 1  Гос.задание(2)'!H83</f>
        <v>0</v>
      </c>
      <c r="Z75" s="205">
        <f>'Табл. 1  Гос.задание(2)'!I83</f>
        <v>0</v>
      </c>
      <c r="AA75" s="205">
        <f>'Табл. 1  Гос.задание(2)'!J83</f>
        <v>0</v>
      </c>
      <c r="AB75" s="271" t="s">
        <v>311</v>
      </c>
      <c r="AC75" s="272"/>
      <c r="AD75" s="272"/>
      <c r="AE75" s="273"/>
      <c r="AF75" s="109">
        <v>2642</v>
      </c>
      <c r="AG75" s="109">
        <v>244</v>
      </c>
      <c r="AH75" s="205">
        <f>'Табл. 2 Иные цели(2)'!H83</f>
        <v>0</v>
      </c>
      <c r="AI75" s="205">
        <f>'Табл. 2 Иные цели(2)'!I83</f>
        <v>0</v>
      </c>
      <c r="AJ75" s="205">
        <f>'Табл. 2 Иные цели(2)'!J83</f>
        <v>0</v>
      </c>
      <c r="AL75" s="204">
        <f t="shared" si="3"/>
        <v>111000</v>
      </c>
      <c r="AM75" s="204">
        <f t="shared" si="2"/>
        <v>11000</v>
      </c>
    </row>
    <row r="76" spans="1:49" ht="24.95" customHeight="1" x14ac:dyDescent="0.2">
      <c r="A76" s="271" t="s">
        <v>301</v>
      </c>
      <c r="B76" s="272"/>
      <c r="C76" s="272"/>
      <c r="D76" s="273"/>
      <c r="E76" s="109">
        <v>2643</v>
      </c>
      <c r="F76" s="109">
        <v>244</v>
      </c>
      <c r="G76" s="205">
        <f>'Табл. 5 ОМС'!H85</f>
        <v>3426307</v>
      </c>
      <c r="H76" s="205">
        <f>'Табл. 5 ОМС'!I85</f>
        <v>2560092.1800000002</v>
      </c>
      <c r="I76" s="205">
        <f>'Табл. 5 ОМС'!J85</f>
        <v>2102702.5</v>
      </c>
      <c r="J76" s="271" t="s">
        <v>312</v>
      </c>
      <c r="K76" s="272"/>
      <c r="L76" s="272"/>
      <c r="M76" s="273"/>
      <c r="N76" s="109">
        <v>2643</v>
      </c>
      <c r="O76" s="109">
        <v>244</v>
      </c>
      <c r="P76" s="205">
        <f>'Табл. 4.3 платные ВСЕГО '!H87</f>
        <v>0</v>
      </c>
      <c r="Q76" s="205">
        <f>'Табл. 4.3 платные ВСЕГО '!I87</f>
        <v>358869</v>
      </c>
      <c r="R76" s="205">
        <f>'Табл. 4.3 платные ВСЕГО '!J87</f>
        <v>290000</v>
      </c>
      <c r="S76" s="271" t="s">
        <v>301</v>
      </c>
      <c r="T76" s="272"/>
      <c r="U76" s="272"/>
      <c r="V76" s="273"/>
      <c r="W76" s="109">
        <v>2643</v>
      </c>
      <c r="X76" s="109">
        <v>244</v>
      </c>
      <c r="Y76" s="205">
        <f>'Табл. 1  Гос.задание(2)'!H84</f>
        <v>185300</v>
      </c>
      <c r="Z76" s="205">
        <f>'Табл. 1  Гос.задание(2)'!I84</f>
        <v>185300</v>
      </c>
      <c r="AA76" s="205">
        <f>'Табл. 1  Гос.задание(2)'!J84</f>
        <v>185300</v>
      </c>
      <c r="AB76" s="271" t="s">
        <v>301</v>
      </c>
      <c r="AC76" s="272"/>
      <c r="AD76" s="272"/>
      <c r="AE76" s="273"/>
      <c r="AF76" s="109">
        <v>2643</v>
      </c>
      <c r="AG76" s="109">
        <v>244</v>
      </c>
      <c r="AH76" s="205">
        <f>'Табл. 2 Иные цели(2)'!H84</f>
        <v>0</v>
      </c>
      <c r="AI76" s="205">
        <f>'Табл. 2 Иные цели(2)'!I84</f>
        <v>0</v>
      </c>
      <c r="AJ76" s="205">
        <f>'Табл. 2 Иные цели(2)'!J84</f>
        <v>0</v>
      </c>
      <c r="AL76" s="204">
        <f t="shared" si="3"/>
        <v>3611607</v>
      </c>
      <c r="AM76" s="204">
        <f t="shared" si="2"/>
        <v>3104261.18</v>
      </c>
    </row>
    <row r="77" spans="1:49" ht="24.95" customHeight="1" x14ac:dyDescent="0.2">
      <c r="A77" s="271" t="s">
        <v>313</v>
      </c>
      <c r="B77" s="272"/>
      <c r="C77" s="272"/>
      <c r="D77" s="273"/>
      <c r="E77" s="109">
        <v>2644</v>
      </c>
      <c r="F77" s="109">
        <v>244</v>
      </c>
      <c r="G77" s="205">
        <f>'Табл. 5 ОМС'!H86</f>
        <v>1483189</v>
      </c>
      <c r="H77" s="205">
        <f>'Табл. 5 ОМС'!I86</f>
        <v>963200</v>
      </c>
      <c r="I77" s="205">
        <f>'Табл. 5 ОМС'!J86</f>
        <v>761500</v>
      </c>
      <c r="J77" s="271" t="s">
        <v>313</v>
      </c>
      <c r="K77" s="272"/>
      <c r="L77" s="272"/>
      <c r="M77" s="273"/>
      <c r="N77" s="109">
        <v>2644</v>
      </c>
      <c r="O77" s="109">
        <v>244</v>
      </c>
      <c r="P77" s="205">
        <f>'Табл. 4.3 платные ВСЕГО '!H88</f>
        <v>44513.25</v>
      </c>
      <c r="Q77" s="205">
        <f>'Табл. 4.3 платные ВСЕГО '!I88</f>
        <v>14513.25</v>
      </c>
      <c r="R77" s="205">
        <f>'Табл. 4.3 платные ВСЕГО '!J88</f>
        <v>14513.25</v>
      </c>
      <c r="S77" s="271" t="s">
        <v>313</v>
      </c>
      <c r="T77" s="272"/>
      <c r="U77" s="272"/>
      <c r="V77" s="273"/>
      <c r="W77" s="109">
        <v>2644</v>
      </c>
      <c r="X77" s="109">
        <v>244</v>
      </c>
      <c r="Y77" s="205">
        <f>'Табл. 1  Гос.задание(2)'!H85</f>
        <v>99800</v>
      </c>
      <c r="Z77" s="205">
        <f>'Табл. 1  Гос.задание(2)'!I85</f>
        <v>99800</v>
      </c>
      <c r="AA77" s="205">
        <f>'Табл. 1  Гос.задание(2)'!J85</f>
        <v>99800</v>
      </c>
      <c r="AB77" s="271" t="s">
        <v>313</v>
      </c>
      <c r="AC77" s="272"/>
      <c r="AD77" s="272"/>
      <c r="AE77" s="273"/>
      <c r="AF77" s="109">
        <v>2644</v>
      </c>
      <c r="AG77" s="109">
        <v>244</v>
      </c>
      <c r="AH77" s="205">
        <f>'Табл. 2 Иные цели(2)'!H85</f>
        <v>0</v>
      </c>
      <c r="AI77" s="205">
        <f>'Табл. 2 Иные цели(2)'!I85</f>
        <v>0</v>
      </c>
      <c r="AJ77" s="205">
        <f>'Табл. 2 Иные цели(2)'!J85</f>
        <v>0</v>
      </c>
      <c r="AL77" s="204">
        <f t="shared" si="3"/>
        <v>1627502.25</v>
      </c>
      <c r="AM77" s="204">
        <f t="shared" si="2"/>
        <v>1077513.25</v>
      </c>
    </row>
    <row r="78" spans="1:49" ht="24.95" customHeight="1" x14ac:dyDescent="0.2">
      <c r="A78" s="271" t="s">
        <v>314</v>
      </c>
      <c r="B78" s="272"/>
      <c r="C78" s="272"/>
      <c r="D78" s="273"/>
      <c r="E78" s="109">
        <v>2645</v>
      </c>
      <c r="F78" s="109">
        <v>244</v>
      </c>
      <c r="G78" s="205">
        <f>'Табл. 5 ОМС'!H87</f>
        <v>499538</v>
      </c>
      <c r="H78" s="205">
        <f>'Табл. 5 ОМС'!I87</f>
        <v>399538</v>
      </c>
      <c r="I78" s="205">
        <f>'Табл. 5 ОМС'!J87</f>
        <v>399538</v>
      </c>
      <c r="J78" s="271" t="s">
        <v>314</v>
      </c>
      <c r="K78" s="272"/>
      <c r="L78" s="272"/>
      <c r="M78" s="273"/>
      <c r="N78" s="109">
        <v>2645</v>
      </c>
      <c r="O78" s="109">
        <v>244</v>
      </c>
      <c r="P78" s="205">
        <f>'Табл. 4.3 платные ВСЕГО '!H89</f>
        <v>0</v>
      </c>
      <c r="Q78" s="205">
        <f>'Табл. 4.3 платные ВСЕГО '!I89</f>
        <v>31559.4</v>
      </c>
      <c r="R78" s="205">
        <f>'Табл. 4.3 платные ВСЕГО '!J89</f>
        <v>31559.4</v>
      </c>
      <c r="S78" s="271" t="s">
        <v>314</v>
      </c>
      <c r="T78" s="272"/>
      <c r="U78" s="272"/>
      <c r="V78" s="273"/>
      <c r="W78" s="109">
        <v>2645</v>
      </c>
      <c r="X78" s="109">
        <v>244</v>
      </c>
      <c r="Y78" s="205">
        <f>'Табл. 1  Гос.задание(2)'!H86</f>
        <v>44300</v>
      </c>
      <c r="Z78" s="205">
        <f>'Табл. 1  Гос.задание(2)'!I86</f>
        <v>44300</v>
      </c>
      <c r="AA78" s="205">
        <f>'Табл. 1  Гос.задание(2)'!J86</f>
        <v>44300</v>
      </c>
      <c r="AB78" s="271" t="s">
        <v>314</v>
      </c>
      <c r="AC78" s="272"/>
      <c r="AD78" s="272"/>
      <c r="AE78" s="273"/>
      <c r="AF78" s="109">
        <v>2645</v>
      </c>
      <c r="AG78" s="109">
        <v>244</v>
      </c>
      <c r="AH78" s="205">
        <f>'Табл. 2 Иные цели(2)'!H86</f>
        <v>0</v>
      </c>
      <c r="AI78" s="205">
        <f>'Табл. 2 Иные цели(2)'!I86</f>
        <v>0</v>
      </c>
      <c r="AJ78" s="205">
        <f>'Табл. 2 Иные цели(2)'!J86</f>
        <v>0</v>
      </c>
      <c r="AL78" s="204">
        <f t="shared" si="3"/>
        <v>543838</v>
      </c>
      <c r="AM78" s="204">
        <f t="shared" si="2"/>
        <v>475397.4</v>
      </c>
    </row>
    <row r="79" spans="1:49" ht="24.95" customHeight="1" x14ac:dyDescent="0.2">
      <c r="A79" s="271" t="s">
        <v>315</v>
      </c>
      <c r="B79" s="272"/>
      <c r="C79" s="272"/>
      <c r="D79" s="273"/>
      <c r="E79" s="109">
        <v>2646</v>
      </c>
      <c r="F79" s="109">
        <v>244</v>
      </c>
      <c r="G79" s="205">
        <f>'Табл. 5 ОМС'!H88</f>
        <v>3373862.64</v>
      </c>
      <c r="H79" s="205">
        <f>'Табл. 5 ОМС'!I88</f>
        <v>3037916</v>
      </c>
      <c r="I79" s="205">
        <f>'Табл. 5 ОМС'!J88</f>
        <v>2445476</v>
      </c>
      <c r="J79" s="271" t="s">
        <v>315</v>
      </c>
      <c r="K79" s="272"/>
      <c r="L79" s="272"/>
      <c r="M79" s="273"/>
      <c r="N79" s="109">
        <v>2646</v>
      </c>
      <c r="O79" s="109">
        <v>244</v>
      </c>
      <c r="P79" s="205">
        <f>'Табл. 4.3 платные ВСЕГО '!H90</f>
        <v>16000</v>
      </c>
      <c r="Q79" s="205">
        <f>'Табл. 4.3 платные ВСЕГО '!I90</f>
        <v>206828.35</v>
      </c>
      <c r="R79" s="205">
        <f>'Табл. 4.3 платные ВСЕГО '!J90</f>
        <v>130000</v>
      </c>
      <c r="S79" s="271" t="s">
        <v>315</v>
      </c>
      <c r="T79" s="272"/>
      <c r="U79" s="272"/>
      <c r="V79" s="273"/>
      <c r="W79" s="109">
        <v>2646</v>
      </c>
      <c r="X79" s="109">
        <v>244</v>
      </c>
      <c r="Y79" s="205">
        <f>'Табл. 1  Гос.задание(2)'!H87</f>
        <v>0</v>
      </c>
      <c r="Z79" s="205">
        <f>'Табл. 1  Гос.задание(2)'!I87</f>
        <v>0</v>
      </c>
      <c r="AA79" s="205">
        <f>'Табл. 1  Гос.задание(2)'!J87</f>
        <v>0</v>
      </c>
      <c r="AB79" s="271" t="s">
        <v>315</v>
      </c>
      <c r="AC79" s="272"/>
      <c r="AD79" s="272"/>
      <c r="AE79" s="273"/>
      <c r="AF79" s="109">
        <v>2646</v>
      </c>
      <c r="AG79" s="109">
        <v>244</v>
      </c>
      <c r="AH79" s="205">
        <f>'Табл. 2 Иные цели(2)'!H87</f>
        <v>0</v>
      </c>
      <c r="AI79" s="205">
        <f>'Табл. 2 Иные цели(2)'!I87</f>
        <v>0</v>
      </c>
      <c r="AJ79" s="205">
        <f>'Табл. 2 Иные цели(2)'!J87</f>
        <v>0</v>
      </c>
      <c r="AL79" s="204">
        <f t="shared" si="3"/>
        <v>3389862.64</v>
      </c>
      <c r="AM79" s="204">
        <f t="shared" si="2"/>
        <v>3244744.35</v>
      </c>
    </row>
    <row r="80" spans="1:49" ht="24.95" customHeight="1" x14ac:dyDescent="0.2">
      <c r="A80" s="271" t="s">
        <v>300</v>
      </c>
      <c r="B80" s="272"/>
      <c r="C80" s="272"/>
      <c r="D80" s="273"/>
      <c r="E80" s="109">
        <v>2647</v>
      </c>
      <c r="F80" s="109">
        <v>244</v>
      </c>
      <c r="G80" s="205">
        <f>'Табл. 5 ОМС'!H89</f>
        <v>8911733.4800000004</v>
      </c>
      <c r="H80" s="205">
        <f>'Табл. 5 ОМС'!I89</f>
        <v>3610208</v>
      </c>
      <c r="I80" s="205">
        <f>'Табл. 5 ОМС'!J89</f>
        <v>2516929</v>
      </c>
      <c r="J80" s="313" t="s">
        <v>300</v>
      </c>
      <c r="K80" s="314"/>
      <c r="L80" s="314"/>
      <c r="M80" s="315"/>
      <c r="N80" s="109">
        <v>2647</v>
      </c>
      <c r="O80" s="109">
        <v>244</v>
      </c>
      <c r="P80" s="205">
        <f>'Табл. 4.3 платные ВСЕГО '!H91</f>
        <v>926099.13</v>
      </c>
      <c r="Q80" s="205">
        <f>'Табл. 4.3 платные ВСЕГО '!I91</f>
        <v>748000</v>
      </c>
      <c r="R80" s="205">
        <f>'Табл. 4.3 платные ВСЕГО '!J91</f>
        <v>748000</v>
      </c>
      <c r="S80" s="271" t="s">
        <v>300</v>
      </c>
      <c r="T80" s="272"/>
      <c r="U80" s="272"/>
      <c r="V80" s="273"/>
      <c r="W80" s="109">
        <v>2647</v>
      </c>
      <c r="X80" s="109">
        <v>244</v>
      </c>
      <c r="Y80" s="205">
        <f>'Табл. 1  Гос.задание(2)'!H88</f>
        <v>342717.35</v>
      </c>
      <c r="Z80" s="205">
        <f>'Табл. 1  Гос.задание(2)'!I88</f>
        <v>91477.2</v>
      </c>
      <c r="AA80" s="205">
        <f>'Табл. 1  Гос.задание(2)'!J88</f>
        <v>0</v>
      </c>
      <c r="AB80" s="271" t="s">
        <v>300</v>
      </c>
      <c r="AC80" s="272"/>
      <c r="AD80" s="272"/>
      <c r="AE80" s="273"/>
      <c r="AF80" s="109">
        <v>2647</v>
      </c>
      <c r="AG80" s="109">
        <v>244</v>
      </c>
      <c r="AH80" s="205">
        <f>'Табл. 2 Иные цели(2)'!H88</f>
        <v>0</v>
      </c>
      <c r="AI80" s="205">
        <f>'Табл. 2 Иные цели(2)'!I88</f>
        <v>0</v>
      </c>
      <c r="AJ80" s="205">
        <f>'Табл. 2 Иные цели(2)'!J88</f>
        <v>0</v>
      </c>
      <c r="AL80" s="204">
        <f t="shared" si="3"/>
        <v>10180549.960000001</v>
      </c>
      <c r="AM80" s="204">
        <f t="shared" si="2"/>
        <v>4449685.2</v>
      </c>
    </row>
    <row r="81" spans="1:39" ht="24.95" customHeight="1" x14ac:dyDescent="0.2">
      <c r="A81" s="271" t="s">
        <v>302</v>
      </c>
      <c r="B81" s="272"/>
      <c r="C81" s="272"/>
      <c r="D81" s="273"/>
      <c r="E81" s="109">
        <v>2648</v>
      </c>
      <c r="F81" s="109">
        <v>244</v>
      </c>
      <c r="G81" s="205">
        <f>'Табл. 5 ОМС'!H90</f>
        <v>30000</v>
      </c>
      <c r="H81" s="205">
        <f>'Табл. 5 ОМС'!I90</f>
        <v>40000</v>
      </c>
      <c r="I81" s="205">
        <f>'Табл. 5 ОМС'!J90</f>
        <v>40000</v>
      </c>
      <c r="J81" s="197" t="s">
        <v>302</v>
      </c>
      <c r="K81" s="198"/>
      <c r="L81" s="198"/>
      <c r="M81" s="199"/>
      <c r="N81" s="109">
        <v>2648</v>
      </c>
      <c r="O81" s="109">
        <v>244</v>
      </c>
      <c r="P81" s="205">
        <f>'Табл. 4.3 платные ВСЕГО '!H92</f>
        <v>6000</v>
      </c>
      <c r="Q81" s="205">
        <f>'Табл. 4.3 платные ВСЕГО '!I92</f>
        <v>0</v>
      </c>
      <c r="R81" s="205">
        <f>'Табл. 4.3 платные ВСЕГО '!J92</f>
        <v>0</v>
      </c>
      <c r="S81" s="271" t="s">
        <v>302</v>
      </c>
      <c r="T81" s="272"/>
      <c r="U81" s="272"/>
      <c r="V81" s="273"/>
      <c r="W81" s="109">
        <v>2648</v>
      </c>
      <c r="X81" s="109">
        <v>244</v>
      </c>
      <c r="Y81" s="205">
        <f>'Табл. 1  Гос.задание(2)'!H89</f>
        <v>7000</v>
      </c>
      <c r="Z81" s="205">
        <f>'Табл. 1  Гос.задание(2)'!I89</f>
        <v>7000</v>
      </c>
      <c r="AA81" s="205">
        <f>'Табл. 1  Гос.задание(2)'!J89</f>
        <v>7000</v>
      </c>
      <c r="AB81" s="271" t="s">
        <v>302</v>
      </c>
      <c r="AC81" s="272"/>
      <c r="AD81" s="272"/>
      <c r="AE81" s="273"/>
      <c r="AF81" s="109">
        <v>2648</v>
      </c>
      <c r="AG81" s="109">
        <v>244</v>
      </c>
      <c r="AH81" s="205">
        <f>'Табл. 2 Иные цели(2)'!H89</f>
        <v>0</v>
      </c>
      <c r="AI81" s="205">
        <f>'Табл. 2 Иные цели(2)'!I89</f>
        <v>0</v>
      </c>
      <c r="AJ81" s="205">
        <f>'Табл. 2 Иные цели(2)'!J89</f>
        <v>0</v>
      </c>
      <c r="AL81" s="204">
        <f t="shared" si="3"/>
        <v>43000</v>
      </c>
      <c r="AM81" s="204">
        <f t="shared" si="2"/>
        <v>47000</v>
      </c>
    </row>
    <row r="82" spans="1:39" ht="24.95" customHeight="1" x14ac:dyDescent="0.2">
      <c r="A82" s="271" t="s">
        <v>305</v>
      </c>
      <c r="B82" s="272"/>
      <c r="C82" s="272"/>
      <c r="D82" s="273"/>
      <c r="E82" s="109">
        <v>2649</v>
      </c>
      <c r="F82" s="109">
        <v>244</v>
      </c>
      <c r="G82" s="205">
        <f>'Табл. 5 ОМС'!H91</f>
        <v>594500</v>
      </c>
      <c r="H82" s="205">
        <f>'Табл. 5 ОМС'!I91</f>
        <v>633000</v>
      </c>
      <c r="I82" s="205">
        <f>'Табл. 5 ОМС'!J91</f>
        <v>633000</v>
      </c>
      <c r="J82" s="271" t="s">
        <v>305</v>
      </c>
      <c r="K82" s="272"/>
      <c r="L82" s="272"/>
      <c r="M82" s="273"/>
      <c r="N82" s="109">
        <v>2649</v>
      </c>
      <c r="O82" s="109">
        <v>244</v>
      </c>
      <c r="P82" s="205">
        <f>'Табл. 4.3 платные ВСЕГО '!H93</f>
        <v>840000</v>
      </c>
      <c r="Q82" s="205">
        <f>'Табл. 4.3 платные ВСЕГО '!I93</f>
        <v>600000</v>
      </c>
      <c r="R82" s="205">
        <f>'Табл. 4.3 платные ВСЕГО '!J93</f>
        <v>600000</v>
      </c>
      <c r="S82" s="271" t="s">
        <v>305</v>
      </c>
      <c r="T82" s="272"/>
      <c r="U82" s="272"/>
      <c r="V82" s="273"/>
      <c r="W82" s="109">
        <v>2649</v>
      </c>
      <c r="X82" s="109">
        <v>244</v>
      </c>
      <c r="Y82" s="205">
        <f>'Табл. 1  Гос.задание(2)'!H90</f>
        <v>0</v>
      </c>
      <c r="Z82" s="205">
        <f>'Табл. 1  Гос.задание(2)'!I90</f>
        <v>0</v>
      </c>
      <c r="AA82" s="205">
        <f>'Табл. 1  Гос.задание(2)'!J90</f>
        <v>0</v>
      </c>
      <c r="AB82" s="271" t="s">
        <v>305</v>
      </c>
      <c r="AC82" s="272"/>
      <c r="AD82" s="272"/>
      <c r="AE82" s="273"/>
      <c r="AF82" s="109">
        <v>2649</v>
      </c>
      <c r="AG82" s="109">
        <v>244</v>
      </c>
      <c r="AH82" s="205">
        <f>'Табл. 2 Иные цели(2)'!H90</f>
        <v>11980000</v>
      </c>
      <c r="AI82" s="205">
        <f>'Табл. 2 Иные цели(2)'!I90</f>
        <v>6000000</v>
      </c>
      <c r="AJ82" s="205">
        <f>'Табл. 2 Иные цели(2)'!J90</f>
        <v>0</v>
      </c>
      <c r="AL82" s="204">
        <f t="shared" si="3"/>
        <v>13414500</v>
      </c>
      <c r="AM82" s="204">
        <f t="shared" si="2"/>
        <v>7233000</v>
      </c>
    </row>
    <row r="83" spans="1:39" ht="24.95" customHeight="1" x14ac:dyDescent="0.2">
      <c r="A83" s="271" t="s">
        <v>316</v>
      </c>
      <c r="B83" s="272"/>
      <c r="C83" s="272"/>
      <c r="D83" s="273"/>
      <c r="E83" s="109">
        <v>2650</v>
      </c>
      <c r="F83" s="109">
        <v>244</v>
      </c>
      <c r="G83" s="205">
        <f>'Табл. 5 ОМС'!H92</f>
        <v>11173390.970000001</v>
      </c>
      <c r="H83" s="205">
        <f>'Табл. 5 ОМС'!I92</f>
        <v>6723828.9100000001</v>
      </c>
      <c r="I83" s="205">
        <f>'Табл. 5 ОМС'!J92</f>
        <v>4423828.91</v>
      </c>
      <c r="J83" s="313" t="s">
        <v>316</v>
      </c>
      <c r="K83" s="314"/>
      <c r="L83" s="314"/>
      <c r="M83" s="315"/>
      <c r="N83" s="109">
        <v>2650</v>
      </c>
      <c r="O83" s="109">
        <v>244</v>
      </c>
      <c r="P83" s="205">
        <f>'Табл. 4.3 платные ВСЕГО '!H94</f>
        <v>623910</v>
      </c>
      <c r="Q83" s="205">
        <f>'Табл. 4.3 платные ВСЕГО '!I94</f>
        <v>550000</v>
      </c>
      <c r="R83" s="205">
        <f>'Табл. 4.3 платные ВСЕГО '!J94</f>
        <v>263597.34999999998</v>
      </c>
      <c r="S83" s="271" t="s">
        <v>316</v>
      </c>
      <c r="T83" s="272"/>
      <c r="U83" s="272"/>
      <c r="V83" s="273"/>
      <c r="W83" s="109">
        <v>2650</v>
      </c>
      <c r="X83" s="109">
        <v>244</v>
      </c>
      <c r="Y83" s="205">
        <f>'Табл. 1  Гос.задание(2)'!H91</f>
        <v>0</v>
      </c>
      <c r="Z83" s="205">
        <f>'Табл. 1  Гос.задание(2)'!I91</f>
        <v>0</v>
      </c>
      <c r="AA83" s="205">
        <f>'Табл. 1  Гос.задание(2)'!J91</f>
        <v>0</v>
      </c>
      <c r="AB83" s="271" t="s">
        <v>316</v>
      </c>
      <c r="AC83" s="272"/>
      <c r="AD83" s="272"/>
      <c r="AE83" s="273"/>
      <c r="AF83" s="109">
        <v>2650</v>
      </c>
      <c r="AG83" s="109">
        <v>244</v>
      </c>
      <c r="AH83" s="205">
        <f>'Табл. 2 Иные цели(2)'!H91</f>
        <v>775800</v>
      </c>
      <c r="AI83" s="205">
        <f>'Табл. 2 Иные цели(2)'!I91</f>
        <v>0</v>
      </c>
      <c r="AJ83" s="205">
        <f>'Табл. 2 Иные цели(2)'!J91</f>
        <v>0</v>
      </c>
      <c r="AL83" s="204">
        <f t="shared" si="3"/>
        <v>12573100.970000001</v>
      </c>
      <c r="AM83" s="204">
        <f t="shared" si="2"/>
        <v>7273828.9100000001</v>
      </c>
    </row>
    <row r="84" spans="1:39" ht="24.95" customHeight="1" x14ac:dyDescent="0.2">
      <c r="A84" s="271" t="s">
        <v>303</v>
      </c>
      <c r="B84" s="272"/>
      <c r="C84" s="272"/>
      <c r="D84" s="273"/>
      <c r="E84" s="109">
        <v>2651</v>
      </c>
      <c r="F84" s="109">
        <v>244</v>
      </c>
      <c r="G84" s="205">
        <f>'Табл. 5 ОМС'!H93</f>
        <v>5050731.1900000004</v>
      </c>
      <c r="H84" s="205">
        <f>'Табл. 5 ОМС'!I93</f>
        <v>2904362.31</v>
      </c>
      <c r="I84" s="205">
        <f>'Табл. 5 ОМС'!J93</f>
        <v>2544209.9900000002</v>
      </c>
      <c r="J84" s="313" t="s">
        <v>303</v>
      </c>
      <c r="K84" s="314"/>
      <c r="L84" s="314"/>
      <c r="M84" s="315"/>
      <c r="N84" s="109">
        <v>2651</v>
      </c>
      <c r="O84" s="109">
        <v>244</v>
      </c>
      <c r="P84" s="205">
        <f>'Табл. 4.3 платные ВСЕГО '!H95</f>
        <v>1200</v>
      </c>
      <c r="Q84" s="205">
        <f>'Табл. 4.3 платные ВСЕГО '!I95</f>
        <v>101200</v>
      </c>
      <c r="R84" s="205">
        <f>'Табл. 4.3 платные ВСЕГО '!J95</f>
        <v>101200</v>
      </c>
      <c r="S84" s="271" t="s">
        <v>303</v>
      </c>
      <c r="T84" s="272"/>
      <c r="U84" s="272"/>
      <c r="V84" s="273"/>
      <c r="W84" s="109">
        <v>2651</v>
      </c>
      <c r="X84" s="109">
        <v>244</v>
      </c>
      <c r="Y84" s="205">
        <f>'Табл. 1  Гос.задание(2)'!H92</f>
        <v>285640</v>
      </c>
      <c r="Z84" s="205">
        <f>'Табл. 1  Гос.задание(2)'!I92</f>
        <v>145640</v>
      </c>
      <c r="AA84" s="205">
        <f>'Табл. 1  Гос.задание(2)'!J92</f>
        <v>145640</v>
      </c>
      <c r="AB84" s="271" t="s">
        <v>303</v>
      </c>
      <c r="AC84" s="272"/>
      <c r="AD84" s="272"/>
      <c r="AE84" s="273"/>
      <c r="AF84" s="109">
        <v>2651</v>
      </c>
      <c r="AG84" s="109">
        <v>244</v>
      </c>
      <c r="AH84" s="205">
        <f>'Табл. 2 Иные цели(2)'!H92</f>
        <v>0</v>
      </c>
      <c r="AI84" s="205">
        <f>'Табл. 2 Иные цели(2)'!I92</f>
        <v>0</v>
      </c>
      <c r="AJ84" s="205">
        <f>'Табл. 2 Иные цели(2)'!J92</f>
        <v>0</v>
      </c>
      <c r="AL84" s="204">
        <f t="shared" si="3"/>
        <v>5337571.1900000004</v>
      </c>
      <c r="AM84" s="204">
        <f t="shared" si="2"/>
        <v>3151202.31</v>
      </c>
    </row>
    <row r="85" spans="1:39" ht="24.95" customHeight="1" x14ac:dyDescent="0.2">
      <c r="A85" s="271" t="s">
        <v>317</v>
      </c>
      <c r="B85" s="272"/>
      <c r="C85" s="272"/>
      <c r="D85" s="273"/>
      <c r="E85" s="109">
        <v>2652</v>
      </c>
      <c r="F85" s="109">
        <v>244</v>
      </c>
      <c r="G85" s="205">
        <f>'Табл. 5 ОМС'!H95</f>
        <v>50000</v>
      </c>
      <c r="H85" s="205">
        <f>'Табл. 5 ОМС'!I95</f>
        <v>50000</v>
      </c>
      <c r="I85" s="205">
        <f>'Табл. 5 ОМС'!J95</f>
        <v>50000</v>
      </c>
      <c r="J85" s="313" t="s">
        <v>317</v>
      </c>
      <c r="K85" s="314"/>
      <c r="L85" s="314"/>
      <c r="M85" s="315"/>
      <c r="N85" s="109">
        <v>2652</v>
      </c>
      <c r="O85" s="109">
        <v>244</v>
      </c>
      <c r="P85" s="205">
        <f>'Табл. 4.3 платные ВСЕГО '!H97</f>
        <v>135090</v>
      </c>
      <c r="Q85" s="205">
        <f>'Табл. 4.3 платные ВСЕГО '!I97</f>
        <v>10000</v>
      </c>
      <c r="R85" s="205">
        <f>'Табл. 4.3 платные ВСЕГО '!J97</f>
        <v>10000</v>
      </c>
      <c r="S85" s="271" t="s">
        <v>317</v>
      </c>
      <c r="T85" s="272"/>
      <c r="U85" s="272"/>
      <c r="V85" s="273"/>
      <c r="W85" s="109">
        <v>2652</v>
      </c>
      <c r="X85" s="109">
        <v>244</v>
      </c>
      <c r="Y85" s="205">
        <f>'Табл. 1  Гос.задание(2)'!H93</f>
        <v>0</v>
      </c>
      <c r="Z85" s="205">
        <f>'Табл. 1  Гос.задание(2)'!I93</f>
        <v>0</v>
      </c>
      <c r="AA85" s="205">
        <f>'Табл. 1  Гос.задание(2)'!J93</f>
        <v>0</v>
      </c>
      <c r="AB85" s="271" t="s">
        <v>317</v>
      </c>
      <c r="AC85" s="272"/>
      <c r="AD85" s="272"/>
      <c r="AE85" s="273"/>
      <c r="AF85" s="109">
        <v>2652</v>
      </c>
      <c r="AG85" s="109">
        <v>244</v>
      </c>
      <c r="AH85" s="205">
        <f>'Табл. 2 Иные цели(2)'!H93</f>
        <v>100000</v>
      </c>
      <c r="AI85" s="205">
        <f>'Табл. 2 Иные цели(2)'!I93</f>
        <v>0</v>
      </c>
      <c r="AJ85" s="205">
        <f>'Табл. 2 Иные цели(2)'!J93</f>
        <v>0</v>
      </c>
      <c r="AL85" s="204">
        <f t="shared" si="3"/>
        <v>285090</v>
      </c>
      <c r="AM85" s="204">
        <f t="shared" si="2"/>
        <v>60000</v>
      </c>
    </row>
    <row r="86" spans="1:39" ht="24.95" customHeight="1" x14ac:dyDescent="0.2">
      <c r="A86" s="271" t="s">
        <v>304</v>
      </c>
      <c r="B86" s="272"/>
      <c r="C86" s="272"/>
      <c r="D86" s="273"/>
      <c r="E86" s="109">
        <v>2653</v>
      </c>
      <c r="F86" s="109">
        <v>244</v>
      </c>
      <c r="G86" s="205">
        <f>'Табл. 5 ОМС'!H96</f>
        <v>778500</v>
      </c>
      <c r="H86" s="205">
        <f>'Табл. 5 ОМС'!I96</f>
        <v>740000</v>
      </c>
      <c r="I86" s="205">
        <f>'Табл. 5 ОМС'!J96</f>
        <v>740000</v>
      </c>
      <c r="J86" s="313" t="s">
        <v>304</v>
      </c>
      <c r="K86" s="314"/>
      <c r="L86" s="314"/>
      <c r="M86" s="315"/>
      <c r="N86" s="109">
        <v>2653</v>
      </c>
      <c r="O86" s="109">
        <v>244</v>
      </c>
      <c r="P86" s="205">
        <f>'Табл. 4.3 платные ВСЕГО '!H98</f>
        <v>182450</v>
      </c>
      <c r="Q86" s="205">
        <f>'Табл. 4.3 платные ВСЕГО '!I98</f>
        <v>182450</v>
      </c>
      <c r="R86" s="205">
        <f>'Табл. 4.3 платные ВСЕГО '!J98</f>
        <v>182450</v>
      </c>
      <c r="S86" s="271" t="s">
        <v>304</v>
      </c>
      <c r="T86" s="272"/>
      <c r="U86" s="272"/>
      <c r="V86" s="273"/>
      <c r="W86" s="109">
        <v>2653</v>
      </c>
      <c r="X86" s="109">
        <v>244</v>
      </c>
      <c r="Y86" s="205">
        <f>'Табл. 1  Гос.задание(2)'!H94</f>
        <v>86600</v>
      </c>
      <c r="Z86" s="205">
        <f>'Табл. 1  Гос.задание(2)'!I94</f>
        <v>86600</v>
      </c>
      <c r="AA86" s="205">
        <f>'Табл. 1  Гос.задание(2)'!J94</f>
        <v>76015.5</v>
      </c>
      <c r="AB86" s="271" t="s">
        <v>304</v>
      </c>
      <c r="AC86" s="272"/>
      <c r="AD86" s="272"/>
      <c r="AE86" s="273"/>
      <c r="AF86" s="109">
        <v>2653</v>
      </c>
      <c r="AG86" s="109">
        <v>244</v>
      </c>
      <c r="AH86" s="205">
        <f>'Табл. 2 Иные цели(2)'!H94</f>
        <v>0</v>
      </c>
      <c r="AI86" s="205">
        <f>'Табл. 2 Иные цели(2)'!I94</f>
        <v>0</v>
      </c>
      <c r="AJ86" s="205">
        <f>'Табл. 2 Иные цели(2)'!J94</f>
        <v>0</v>
      </c>
      <c r="AL86" s="204">
        <f t="shared" si="3"/>
        <v>1047550</v>
      </c>
      <c r="AM86" s="204">
        <f t="shared" si="2"/>
        <v>1009050</v>
      </c>
    </row>
    <row r="87" spans="1:39" ht="24.95" customHeight="1" x14ac:dyDescent="0.2">
      <c r="A87" s="313" t="s">
        <v>318</v>
      </c>
      <c r="B87" s="314"/>
      <c r="C87" s="314"/>
      <c r="D87" s="315"/>
      <c r="E87" s="109"/>
      <c r="F87" s="109">
        <v>244</v>
      </c>
      <c r="G87" s="205">
        <f>'Табл. 5 ОМС'!H97</f>
        <v>10000</v>
      </c>
      <c r="H87" s="205">
        <f>'Табл. 5 ОМС'!I97</f>
        <v>0</v>
      </c>
      <c r="I87" s="205">
        <f>'Табл. 5 ОМС'!J97</f>
        <v>0</v>
      </c>
      <c r="J87" s="313" t="s">
        <v>318</v>
      </c>
      <c r="K87" s="314"/>
      <c r="L87" s="314"/>
      <c r="M87" s="315"/>
      <c r="N87" s="109"/>
      <c r="O87" s="109">
        <v>244</v>
      </c>
      <c r="P87" s="205">
        <f>'Табл. 4.3 платные ВСЕГО '!H99</f>
        <v>20000</v>
      </c>
      <c r="Q87" s="205">
        <f>'Табл. 4.3 платные ВСЕГО '!I99</f>
        <v>20000</v>
      </c>
      <c r="R87" s="205">
        <f>'Табл. 4.3 платные ВСЕГО '!J99</f>
        <v>20000</v>
      </c>
      <c r="S87" s="313" t="s">
        <v>318</v>
      </c>
      <c r="T87" s="314"/>
      <c r="U87" s="314"/>
      <c r="V87" s="315"/>
      <c r="W87" s="109"/>
      <c r="X87" s="109">
        <v>244</v>
      </c>
      <c r="Y87" s="205">
        <f>'Табл. 1  Гос.задание(2)'!H95</f>
        <v>0</v>
      </c>
      <c r="Z87" s="205">
        <f>'Табл. 1  Гос.задание(2)'!I95</f>
        <v>0</v>
      </c>
      <c r="AA87" s="205">
        <f>'Табл. 1  Гос.задание(2)'!J95</f>
        <v>0</v>
      </c>
      <c r="AB87" s="313" t="s">
        <v>318</v>
      </c>
      <c r="AC87" s="314"/>
      <c r="AD87" s="314"/>
      <c r="AE87" s="315"/>
      <c r="AF87" s="109"/>
      <c r="AG87" s="109">
        <v>244</v>
      </c>
      <c r="AH87" s="205">
        <f>'Табл. 2 Иные цели(2)'!H95</f>
        <v>0</v>
      </c>
      <c r="AI87" s="205">
        <f>'Табл. 2 Иные цели(2)'!I95</f>
        <v>0</v>
      </c>
      <c r="AJ87" s="205">
        <f>'Табл. 2 Иные цели(2)'!J95</f>
        <v>0</v>
      </c>
      <c r="AL87" s="204">
        <f t="shared" si="3"/>
        <v>30000</v>
      </c>
      <c r="AM87" s="204">
        <f t="shared" si="2"/>
        <v>20000</v>
      </c>
    </row>
    <row r="88" spans="1:39" ht="24.95" customHeight="1" x14ac:dyDescent="0.2">
      <c r="A88" s="506" t="s">
        <v>264</v>
      </c>
      <c r="B88" s="506"/>
      <c r="C88" s="506"/>
      <c r="D88" s="506"/>
      <c r="E88" s="109">
        <v>2660</v>
      </c>
      <c r="F88" s="109">
        <v>400</v>
      </c>
      <c r="G88" s="205">
        <f>'Табл. 5 ОМС'!H98</f>
        <v>0</v>
      </c>
      <c r="H88" s="205">
        <f>'Табл. 5 ОМС'!I98</f>
        <v>0</v>
      </c>
      <c r="I88" s="205">
        <f>'Табл. 5 ОМС'!J98</f>
        <v>0</v>
      </c>
      <c r="J88" s="319" t="s">
        <v>264</v>
      </c>
      <c r="K88" s="319"/>
      <c r="L88" s="319"/>
      <c r="M88" s="319"/>
      <c r="N88" s="109">
        <v>2660</v>
      </c>
      <c r="O88" s="109">
        <v>400</v>
      </c>
      <c r="P88" s="205">
        <f>'Табл. 4.3 платные ВСЕГО '!H100</f>
        <v>0</v>
      </c>
      <c r="Q88" s="205">
        <f>'Табл. 4.3 платные ВСЕГО '!I100</f>
        <v>0</v>
      </c>
      <c r="R88" s="205">
        <f>'Табл. 4.3 платные ВСЕГО '!J100</f>
        <v>0</v>
      </c>
      <c r="S88" s="506" t="s">
        <v>264</v>
      </c>
      <c r="T88" s="506"/>
      <c r="U88" s="506"/>
      <c r="V88" s="506"/>
      <c r="W88" s="109">
        <v>2660</v>
      </c>
      <c r="X88" s="109">
        <v>400</v>
      </c>
      <c r="Y88" s="205">
        <f>'Табл. 1  Гос.задание(2)'!H96</f>
        <v>0</v>
      </c>
      <c r="Z88" s="205">
        <f>'Табл. 1  Гос.задание(2)'!I96</f>
        <v>0</v>
      </c>
      <c r="AA88" s="205">
        <f>'Табл. 1  Гос.задание(2)'!J96</f>
        <v>0</v>
      </c>
      <c r="AB88" s="506" t="s">
        <v>264</v>
      </c>
      <c r="AC88" s="506"/>
      <c r="AD88" s="506"/>
      <c r="AE88" s="506"/>
      <c r="AF88" s="109">
        <v>2660</v>
      </c>
      <c r="AG88" s="109">
        <v>400</v>
      </c>
      <c r="AH88" s="205">
        <f>'Табл. 2 Иные цели(2)'!H96</f>
        <v>0</v>
      </c>
      <c r="AI88" s="205">
        <f>'Табл. 2 Иные цели(2)'!I96</f>
        <v>0</v>
      </c>
      <c r="AJ88" s="205">
        <f>'Табл. 2 Иные цели(2)'!J96</f>
        <v>0</v>
      </c>
      <c r="AL88" s="204">
        <f t="shared" si="3"/>
        <v>0</v>
      </c>
      <c r="AM88" s="204">
        <f t="shared" si="2"/>
        <v>0</v>
      </c>
    </row>
    <row r="89" spans="1:39" ht="24.95" customHeight="1" x14ac:dyDescent="0.2">
      <c r="A89" s="506" t="s">
        <v>265</v>
      </c>
      <c r="B89" s="506"/>
      <c r="C89" s="506"/>
      <c r="D89" s="506"/>
      <c r="E89" s="109">
        <v>2661</v>
      </c>
      <c r="F89" s="109">
        <v>406</v>
      </c>
      <c r="G89" s="205">
        <f>'Табл. 5 ОМС'!H99</f>
        <v>0</v>
      </c>
      <c r="H89" s="205">
        <f>'Табл. 5 ОМС'!I99</f>
        <v>0</v>
      </c>
      <c r="I89" s="205">
        <f>'Табл. 5 ОМС'!J99</f>
        <v>0</v>
      </c>
      <c r="J89" s="319" t="s">
        <v>265</v>
      </c>
      <c r="K89" s="319"/>
      <c r="L89" s="319"/>
      <c r="M89" s="319"/>
      <c r="N89" s="109">
        <v>2661</v>
      </c>
      <c r="O89" s="109">
        <v>406</v>
      </c>
      <c r="P89" s="205">
        <f>'Табл. 4.3 платные ВСЕГО '!H101</f>
        <v>0</v>
      </c>
      <c r="Q89" s="205">
        <f>'Табл. 4.3 платные ВСЕГО '!I101</f>
        <v>0</v>
      </c>
      <c r="R89" s="205">
        <f>'Табл. 4.3 платные ВСЕГО '!J101</f>
        <v>0</v>
      </c>
      <c r="S89" s="506" t="s">
        <v>265</v>
      </c>
      <c r="T89" s="506"/>
      <c r="U89" s="506"/>
      <c r="V89" s="506"/>
      <c r="W89" s="109">
        <v>2661</v>
      </c>
      <c r="X89" s="109">
        <v>406</v>
      </c>
      <c r="Y89" s="205">
        <f>'Табл. 1  Гос.задание(2)'!H97</f>
        <v>0</v>
      </c>
      <c r="Z89" s="205">
        <f>'Табл. 1  Гос.задание(2)'!I97</f>
        <v>0</v>
      </c>
      <c r="AA89" s="205">
        <f>'Табл. 1  Гос.задание(2)'!J97</f>
        <v>0</v>
      </c>
      <c r="AB89" s="506" t="s">
        <v>265</v>
      </c>
      <c r="AC89" s="506"/>
      <c r="AD89" s="506"/>
      <c r="AE89" s="506"/>
      <c r="AF89" s="109">
        <v>2661</v>
      </c>
      <c r="AG89" s="109">
        <v>406</v>
      </c>
      <c r="AH89" s="205">
        <f>'Табл. 2 Иные цели(2)'!H97</f>
        <v>0</v>
      </c>
      <c r="AI89" s="205">
        <f>'Табл. 2 Иные цели(2)'!I97</f>
        <v>0</v>
      </c>
      <c r="AJ89" s="205">
        <f>'Табл. 2 Иные цели(2)'!J97</f>
        <v>0</v>
      </c>
      <c r="AL89" s="204">
        <f t="shared" si="3"/>
        <v>0</v>
      </c>
      <c r="AM89" s="204">
        <f t="shared" si="2"/>
        <v>0</v>
      </c>
    </row>
    <row r="90" spans="1:39" ht="24.95" customHeight="1" x14ac:dyDescent="0.2">
      <c r="A90" s="506" t="s">
        <v>266</v>
      </c>
      <c r="B90" s="506"/>
      <c r="C90" s="506"/>
      <c r="D90" s="506"/>
      <c r="E90" s="109">
        <v>2662</v>
      </c>
      <c r="F90" s="109">
        <v>407</v>
      </c>
      <c r="G90" s="205">
        <f>'Табл. 5 ОМС'!H100</f>
        <v>0</v>
      </c>
      <c r="H90" s="205">
        <f>'Табл. 5 ОМС'!I100</f>
        <v>0</v>
      </c>
      <c r="I90" s="205">
        <f>'Табл. 5 ОМС'!J100</f>
        <v>0</v>
      </c>
      <c r="J90" s="319" t="s">
        <v>266</v>
      </c>
      <c r="K90" s="319"/>
      <c r="L90" s="319"/>
      <c r="M90" s="319"/>
      <c r="N90" s="109">
        <v>2662</v>
      </c>
      <c r="O90" s="109">
        <v>407</v>
      </c>
      <c r="P90" s="205">
        <f>'Табл. 4.3 платные ВСЕГО '!H102</f>
        <v>0</v>
      </c>
      <c r="Q90" s="205">
        <f>'Табл. 4.3 платные ВСЕГО '!I102</f>
        <v>0</v>
      </c>
      <c r="R90" s="205">
        <f>'Табл. 4.3 платные ВСЕГО '!J102</f>
        <v>0</v>
      </c>
      <c r="S90" s="506" t="s">
        <v>266</v>
      </c>
      <c r="T90" s="506"/>
      <c r="U90" s="506"/>
      <c r="V90" s="506"/>
      <c r="W90" s="109">
        <v>2662</v>
      </c>
      <c r="X90" s="109">
        <v>407</v>
      </c>
      <c r="Y90" s="205">
        <f>'Табл. 1  Гос.задание(2)'!H98</f>
        <v>0</v>
      </c>
      <c r="Z90" s="205">
        <f>'Табл. 1  Гос.задание(2)'!I98</f>
        <v>0</v>
      </c>
      <c r="AA90" s="205">
        <f>'Табл. 1  Гос.задание(2)'!J98</f>
        <v>0</v>
      </c>
      <c r="AB90" s="506" t="s">
        <v>266</v>
      </c>
      <c r="AC90" s="506"/>
      <c r="AD90" s="506"/>
      <c r="AE90" s="506"/>
      <c r="AF90" s="109">
        <v>2662</v>
      </c>
      <c r="AG90" s="109">
        <v>407</v>
      </c>
      <c r="AH90" s="205">
        <f>'Табл. 2 Иные цели(2)'!H98</f>
        <v>0</v>
      </c>
      <c r="AI90" s="205">
        <f>'Табл. 2 Иные цели(2)'!I98</f>
        <v>0</v>
      </c>
      <c r="AJ90" s="205">
        <f>'Табл. 2 Иные цели(2)'!J98</f>
        <v>0</v>
      </c>
      <c r="AL90" s="204">
        <f t="shared" si="3"/>
        <v>0</v>
      </c>
      <c r="AM90" s="204">
        <f t="shared" si="2"/>
        <v>0</v>
      </c>
    </row>
    <row r="91" spans="1:39" ht="24.95" customHeight="1" x14ac:dyDescent="0.2">
      <c r="A91" s="519" t="s">
        <v>143</v>
      </c>
      <c r="B91" s="519"/>
      <c r="C91" s="519"/>
      <c r="D91" s="519"/>
      <c r="E91" s="124">
        <v>3000</v>
      </c>
      <c r="F91" s="124">
        <v>100</v>
      </c>
      <c r="G91" s="205">
        <f>'Табл. 5 ОМС'!H101</f>
        <v>0</v>
      </c>
      <c r="H91" s="205">
        <f>'Табл. 5 ОМС'!I101</f>
        <v>0</v>
      </c>
      <c r="I91" s="205">
        <f>'Табл. 5 ОМС'!J101</f>
        <v>0</v>
      </c>
      <c r="J91" s="472" t="s">
        <v>143</v>
      </c>
      <c r="K91" s="472"/>
      <c r="L91" s="472"/>
      <c r="M91" s="472"/>
      <c r="N91" s="124">
        <v>3000</v>
      </c>
      <c r="O91" s="124">
        <v>100</v>
      </c>
      <c r="P91" s="205">
        <f>'Табл. 4.3 платные ВСЕГО '!H103</f>
        <v>-5811</v>
      </c>
      <c r="Q91" s="205">
        <f>'Табл. 4.3 платные ВСЕГО '!I103</f>
        <v>0</v>
      </c>
      <c r="R91" s="205">
        <f>'Табл. 4.3 платные ВСЕГО '!J103</f>
        <v>0</v>
      </c>
      <c r="S91" s="519" t="s">
        <v>143</v>
      </c>
      <c r="T91" s="519"/>
      <c r="U91" s="519"/>
      <c r="V91" s="519"/>
      <c r="W91" s="124">
        <v>3000</v>
      </c>
      <c r="X91" s="124">
        <v>100</v>
      </c>
      <c r="Y91" s="205">
        <f>'Табл. 1  Гос.задание(2)'!H99</f>
        <v>0</v>
      </c>
      <c r="Z91" s="205">
        <f>'Табл. 1  Гос.задание(2)'!I99</f>
        <v>0</v>
      </c>
      <c r="AA91" s="205">
        <f>'Табл. 1  Гос.задание(2)'!J99</f>
        <v>0</v>
      </c>
      <c r="AB91" s="519" t="s">
        <v>143</v>
      </c>
      <c r="AC91" s="519"/>
      <c r="AD91" s="519"/>
      <c r="AE91" s="519"/>
      <c r="AF91" s="124">
        <v>3000</v>
      </c>
      <c r="AG91" s="124">
        <v>100</v>
      </c>
      <c r="AH91" s="205">
        <f>'Табл. 2 Иные цели(2)'!H99</f>
        <v>0</v>
      </c>
      <c r="AI91" s="205">
        <f>'Табл. 2 Иные цели(2)'!I99</f>
        <v>0</v>
      </c>
      <c r="AJ91" s="205">
        <f>'Табл. 2 Иные цели(2)'!J99</f>
        <v>0</v>
      </c>
      <c r="AL91" s="204">
        <f t="shared" si="3"/>
        <v>-5811</v>
      </c>
      <c r="AM91" s="204">
        <f t="shared" si="2"/>
        <v>0</v>
      </c>
    </row>
    <row r="92" spans="1:39" ht="24.95" customHeight="1" x14ac:dyDescent="0.2">
      <c r="A92" s="506" t="s">
        <v>144</v>
      </c>
      <c r="B92" s="506"/>
      <c r="C92" s="506"/>
      <c r="D92" s="506"/>
      <c r="E92" s="109">
        <v>3010</v>
      </c>
      <c r="F92" s="109"/>
      <c r="G92" s="205">
        <f>'Табл. 5 ОМС'!H102</f>
        <v>0</v>
      </c>
      <c r="H92" s="205">
        <f>'Табл. 5 ОМС'!I102</f>
        <v>0</v>
      </c>
      <c r="I92" s="205">
        <f>'Табл. 5 ОМС'!J102</f>
        <v>0</v>
      </c>
      <c r="J92" s="319" t="s">
        <v>144</v>
      </c>
      <c r="K92" s="319"/>
      <c r="L92" s="319"/>
      <c r="M92" s="319"/>
      <c r="N92" s="109">
        <v>3010</v>
      </c>
      <c r="O92" s="109"/>
      <c r="P92" s="205">
        <f>'Табл. 4.3 платные ВСЕГО '!H104</f>
        <v>0</v>
      </c>
      <c r="Q92" s="205">
        <f>'Табл. 4.3 платные ВСЕГО '!I104</f>
        <v>0</v>
      </c>
      <c r="R92" s="205">
        <f>'Табл. 4.3 платные ВСЕГО '!J104</f>
        <v>0</v>
      </c>
      <c r="S92" s="506" t="s">
        <v>144</v>
      </c>
      <c r="T92" s="506"/>
      <c r="U92" s="506"/>
      <c r="V92" s="506"/>
      <c r="W92" s="109">
        <v>3010</v>
      </c>
      <c r="X92" s="109"/>
      <c r="Y92" s="205">
        <f>'Табл. 1  Гос.задание(2)'!H100</f>
        <v>0</v>
      </c>
      <c r="Z92" s="205">
        <f>'Табл. 1  Гос.задание(2)'!I100</f>
        <v>0</v>
      </c>
      <c r="AA92" s="205">
        <f>'Табл. 1  Гос.задание(2)'!J100</f>
        <v>0</v>
      </c>
      <c r="AB92" s="506" t="s">
        <v>144</v>
      </c>
      <c r="AC92" s="506"/>
      <c r="AD92" s="506"/>
      <c r="AE92" s="506"/>
      <c r="AF92" s="109">
        <v>3010</v>
      </c>
      <c r="AG92" s="109"/>
      <c r="AH92" s="205">
        <f>'Табл. 2 Иные цели(2)'!H100</f>
        <v>0</v>
      </c>
      <c r="AI92" s="205">
        <f>'Табл. 2 Иные цели(2)'!I100</f>
        <v>0</v>
      </c>
      <c r="AJ92" s="205">
        <f>'Табл. 2 Иные цели(2)'!J100</f>
        <v>0</v>
      </c>
      <c r="AL92" s="204">
        <f t="shared" si="3"/>
        <v>0</v>
      </c>
      <c r="AM92" s="204">
        <f t="shared" si="2"/>
        <v>0</v>
      </c>
    </row>
    <row r="93" spans="1:39" ht="24.95" customHeight="1" x14ac:dyDescent="0.2">
      <c r="A93" s="319" t="s">
        <v>145</v>
      </c>
      <c r="B93" s="319"/>
      <c r="C93" s="319"/>
      <c r="D93" s="319"/>
      <c r="E93" s="84">
        <v>3020</v>
      </c>
      <c r="F93" s="84"/>
      <c r="G93" s="205">
        <f>'Табл. 5 ОМС'!H103</f>
        <v>0</v>
      </c>
      <c r="H93" s="205">
        <f>'Табл. 5 ОМС'!I103</f>
        <v>0</v>
      </c>
      <c r="I93" s="205">
        <f>'Табл. 5 ОМС'!J103</f>
        <v>0</v>
      </c>
      <c r="J93" s="319" t="s">
        <v>145</v>
      </c>
      <c r="K93" s="319"/>
      <c r="L93" s="319"/>
      <c r="M93" s="319"/>
      <c r="N93" s="84">
        <v>3020</v>
      </c>
      <c r="O93" s="84"/>
      <c r="P93" s="205">
        <f>'Табл. 4.3 платные ВСЕГО '!H105</f>
        <v>-5811</v>
      </c>
      <c r="Q93" s="205">
        <f>'Табл. 4.3 платные ВСЕГО '!I105</f>
        <v>0</v>
      </c>
      <c r="R93" s="205">
        <f>'Табл. 4.3 платные ВСЕГО '!J105</f>
        <v>0</v>
      </c>
      <c r="S93" s="319" t="s">
        <v>145</v>
      </c>
      <c r="T93" s="319"/>
      <c r="U93" s="319"/>
      <c r="V93" s="319"/>
      <c r="W93" s="84">
        <v>3020</v>
      </c>
      <c r="X93" s="84"/>
      <c r="Y93" s="205">
        <f>'Табл. 1  Гос.задание(2)'!H101</f>
        <v>0</v>
      </c>
      <c r="Z93" s="205">
        <f>'Табл. 1  Гос.задание(2)'!I101</f>
        <v>0</v>
      </c>
      <c r="AA93" s="205">
        <f>'Табл. 1  Гос.задание(2)'!J101</f>
        <v>0</v>
      </c>
      <c r="AB93" s="319" t="s">
        <v>145</v>
      </c>
      <c r="AC93" s="319"/>
      <c r="AD93" s="319"/>
      <c r="AE93" s="319"/>
      <c r="AF93" s="84">
        <v>3020</v>
      </c>
      <c r="AG93" s="84"/>
      <c r="AH93" s="205">
        <f>'Табл. 2 Иные цели(2)'!H101</f>
        <v>0</v>
      </c>
      <c r="AI93" s="205">
        <f>'Табл. 2 Иные цели(2)'!I101</f>
        <v>0</v>
      </c>
      <c r="AJ93" s="205">
        <f>'Табл. 2 Иные цели(2)'!J101</f>
        <v>0</v>
      </c>
      <c r="AL93" s="204">
        <f t="shared" si="3"/>
        <v>-5811</v>
      </c>
      <c r="AM93" s="204">
        <f t="shared" si="2"/>
        <v>0</v>
      </c>
    </row>
    <row r="94" spans="1:39" ht="24.95" customHeight="1" x14ac:dyDescent="0.2">
      <c r="A94" s="319" t="s">
        <v>146</v>
      </c>
      <c r="B94" s="319"/>
      <c r="C94" s="319"/>
      <c r="D94" s="319"/>
      <c r="E94" s="84">
        <v>3030</v>
      </c>
      <c r="F94" s="84"/>
      <c r="G94" s="205">
        <f>'Табл. 5 ОМС'!H104</f>
        <v>0</v>
      </c>
      <c r="H94" s="205">
        <f>'Табл. 5 ОМС'!I104</f>
        <v>0</v>
      </c>
      <c r="I94" s="205">
        <f>'Табл. 5 ОМС'!J104</f>
        <v>0</v>
      </c>
      <c r="J94" s="319" t="s">
        <v>146</v>
      </c>
      <c r="K94" s="319"/>
      <c r="L94" s="319"/>
      <c r="M94" s="319"/>
      <c r="N94" s="84">
        <v>3030</v>
      </c>
      <c r="O94" s="84"/>
      <c r="P94" s="205">
        <f>'Табл. 4.3 платные ВСЕГО '!H106</f>
        <v>0</v>
      </c>
      <c r="Q94" s="205">
        <f>'Табл. 4.3 платные ВСЕГО '!I106</f>
        <v>0</v>
      </c>
      <c r="R94" s="205">
        <f>'Табл. 4.3 платные ВСЕГО '!J106</f>
        <v>0</v>
      </c>
      <c r="S94" s="319" t="s">
        <v>146</v>
      </c>
      <c r="T94" s="319"/>
      <c r="U94" s="319"/>
      <c r="V94" s="319"/>
      <c r="W94" s="84">
        <v>3030</v>
      </c>
      <c r="X94" s="84"/>
      <c r="Y94" s="205">
        <f>'Табл. 1  Гос.задание(2)'!H102</f>
        <v>0</v>
      </c>
      <c r="Z94" s="205">
        <f>'Табл. 1  Гос.задание(2)'!I102</f>
        <v>0</v>
      </c>
      <c r="AA94" s="205">
        <f>'Табл. 1  Гос.задание(2)'!J102</f>
        <v>0</v>
      </c>
      <c r="AB94" s="319" t="s">
        <v>146</v>
      </c>
      <c r="AC94" s="319"/>
      <c r="AD94" s="319"/>
      <c r="AE94" s="319"/>
      <c r="AF94" s="84">
        <v>3030</v>
      </c>
      <c r="AG94" s="84"/>
      <c r="AH94" s="205">
        <f>'Табл. 2 Иные цели(2)'!H102</f>
        <v>0</v>
      </c>
      <c r="AI94" s="205">
        <f>'Табл. 2 Иные цели(2)'!I102</f>
        <v>0</v>
      </c>
      <c r="AJ94" s="205">
        <f>'Табл. 2 Иные цели(2)'!J102</f>
        <v>0</v>
      </c>
      <c r="AL94" s="204">
        <f t="shared" si="3"/>
        <v>0</v>
      </c>
      <c r="AM94" s="204">
        <f t="shared" si="2"/>
        <v>0</v>
      </c>
    </row>
    <row r="95" spans="1:39" ht="24.95" customHeight="1" x14ac:dyDescent="0.2">
      <c r="A95" s="472" t="s">
        <v>147</v>
      </c>
      <c r="B95" s="472"/>
      <c r="C95" s="472"/>
      <c r="D95" s="472"/>
      <c r="E95" s="85">
        <v>4000</v>
      </c>
      <c r="F95" s="85" t="s">
        <v>9</v>
      </c>
      <c r="G95" s="205">
        <f>'Табл. 5 ОМС'!H105</f>
        <v>0</v>
      </c>
      <c r="H95" s="205">
        <f>'Табл. 5 ОМС'!I105</f>
        <v>0</v>
      </c>
      <c r="I95" s="205">
        <f>'Табл. 5 ОМС'!J105</f>
        <v>0</v>
      </c>
      <c r="J95" s="472" t="s">
        <v>147</v>
      </c>
      <c r="K95" s="472"/>
      <c r="L95" s="472"/>
      <c r="M95" s="472"/>
      <c r="N95" s="85">
        <v>4000</v>
      </c>
      <c r="O95" s="85" t="s">
        <v>9</v>
      </c>
      <c r="P95" s="205">
        <f>'Табл. 4.3 платные ВСЕГО '!H107</f>
        <v>0</v>
      </c>
      <c r="Q95" s="205">
        <f>'Табл. 4.3 платные ВСЕГО '!I107</f>
        <v>0</v>
      </c>
      <c r="R95" s="205">
        <f>'Табл. 4.3 платные ВСЕГО '!J107</f>
        <v>0</v>
      </c>
      <c r="S95" s="472" t="s">
        <v>147</v>
      </c>
      <c r="T95" s="472"/>
      <c r="U95" s="472"/>
      <c r="V95" s="472"/>
      <c r="W95" s="85">
        <v>4000</v>
      </c>
      <c r="X95" s="85" t="s">
        <v>9</v>
      </c>
      <c r="Y95" s="205">
        <f>'Табл. 1  Гос.задание(2)'!H103</f>
        <v>0</v>
      </c>
      <c r="Z95" s="205">
        <f>'Табл. 1  Гос.задание(2)'!I103</f>
        <v>0</v>
      </c>
      <c r="AA95" s="205">
        <f>'Табл. 1  Гос.задание(2)'!J103</f>
        <v>0</v>
      </c>
      <c r="AB95" s="472" t="s">
        <v>147</v>
      </c>
      <c r="AC95" s="472"/>
      <c r="AD95" s="472"/>
      <c r="AE95" s="472"/>
      <c r="AF95" s="85">
        <v>4000</v>
      </c>
      <c r="AG95" s="85" t="s">
        <v>9</v>
      </c>
      <c r="AH95" s="205">
        <f>'Табл. 2 Иные цели(2)'!H103</f>
        <v>0</v>
      </c>
      <c r="AI95" s="205">
        <f>'Табл. 2 Иные цели(2)'!I103</f>
        <v>0</v>
      </c>
      <c r="AJ95" s="205">
        <f>'Табл. 2 Иные цели(2)'!J103</f>
        <v>0</v>
      </c>
      <c r="AL95" s="204">
        <f t="shared" si="3"/>
        <v>0</v>
      </c>
      <c r="AM95" s="204">
        <f t="shared" si="2"/>
        <v>0</v>
      </c>
    </row>
    <row r="96" spans="1:39" ht="24.95" customHeight="1" x14ac:dyDescent="0.2">
      <c r="A96" s="319" t="s">
        <v>148</v>
      </c>
      <c r="B96" s="319"/>
      <c r="C96" s="319"/>
      <c r="D96" s="319"/>
      <c r="E96" s="84">
        <v>4010</v>
      </c>
      <c r="F96" s="76">
        <v>610</v>
      </c>
      <c r="G96" s="205">
        <f>'Табл. 5 ОМС'!H106</f>
        <v>0</v>
      </c>
      <c r="H96" s="205">
        <f>'Табл. 5 ОМС'!I106</f>
        <v>0</v>
      </c>
      <c r="I96" s="205">
        <f>'Табл. 5 ОМС'!J106</f>
        <v>0</v>
      </c>
      <c r="J96" s="319" t="s">
        <v>148</v>
      </c>
      <c r="K96" s="319"/>
      <c r="L96" s="319"/>
      <c r="M96" s="319"/>
      <c r="N96" s="84">
        <v>4010</v>
      </c>
      <c r="O96" s="76">
        <v>610</v>
      </c>
      <c r="P96" s="205">
        <f>'Табл. 4.3 платные ВСЕГО '!H108</f>
        <v>0</v>
      </c>
      <c r="Q96" s="205">
        <f>'Табл. 4.3 платные ВСЕГО '!I108</f>
        <v>0</v>
      </c>
      <c r="R96" s="205">
        <f>'Табл. 4.3 платные ВСЕГО '!J108</f>
        <v>0</v>
      </c>
      <c r="S96" s="319" t="s">
        <v>148</v>
      </c>
      <c r="T96" s="319"/>
      <c r="U96" s="319"/>
      <c r="V96" s="319"/>
      <c r="W96" s="84">
        <v>4010</v>
      </c>
      <c r="X96" s="76">
        <v>610</v>
      </c>
      <c r="Y96" s="205">
        <f>'Табл. 1  Гос.задание(2)'!H104</f>
        <v>0</v>
      </c>
      <c r="Z96" s="205">
        <f>'Табл. 1  Гос.задание(2)'!I104</f>
        <v>0</v>
      </c>
      <c r="AA96" s="205">
        <f>'Табл. 1  Гос.задание(2)'!J104</f>
        <v>0</v>
      </c>
      <c r="AB96" s="319" t="s">
        <v>148</v>
      </c>
      <c r="AC96" s="319"/>
      <c r="AD96" s="319"/>
      <c r="AE96" s="319"/>
      <c r="AF96" s="84">
        <v>4010</v>
      </c>
      <c r="AG96" s="76">
        <v>610</v>
      </c>
      <c r="AH96" s="205">
        <f>'Табл. 2 Иные цели(2)'!H104</f>
        <v>0</v>
      </c>
      <c r="AI96" s="205">
        <f>'Табл. 2 Иные цели(2)'!I104</f>
        <v>0</v>
      </c>
      <c r="AJ96" s="205">
        <f>'Табл. 2 Иные цели(2)'!J104</f>
        <v>0</v>
      </c>
      <c r="AL96" s="204">
        <f t="shared" si="3"/>
        <v>0</v>
      </c>
      <c r="AM96" s="204">
        <f t="shared" si="2"/>
        <v>0</v>
      </c>
    </row>
    <row r="97" spans="7:39" x14ac:dyDescent="0.2">
      <c r="AM97" s="204">
        <f t="shared" si="2"/>
        <v>0</v>
      </c>
    </row>
    <row r="98" spans="7:39" x14ac:dyDescent="0.2">
      <c r="AM98" s="204">
        <f t="shared" si="2"/>
        <v>0</v>
      </c>
    </row>
    <row r="99" spans="7:39" x14ac:dyDescent="0.2">
      <c r="G99" s="208">
        <f>G9+G11-G37</f>
        <v>0</v>
      </c>
      <c r="H99" s="208">
        <f>H9+H11-H37</f>
        <v>0</v>
      </c>
      <c r="I99" s="208">
        <f>I9+I11-I37</f>
        <v>0</v>
      </c>
      <c r="P99" s="208">
        <f>P9+P11-P37+P91</f>
        <v>0</v>
      </c>
      <c r="Q99" s="208">
        <f t="shared" ref="Q99:R99" si="4">Q9+Q11-Q37+Q91</f>
        <v>0</v>
      </c>
      <c r="R99" s="208">
        <f t="shared" si="4"/>
        <v>0</v>
      </c>
      <c r="Y99" s="208">
        <f t="shared" ref="Y99:AA99" si="5">Y9+Y11-Y37+Y91</f>
        <v>0</v>
      </c>
      <c r="Z99" s="208">
        <f t="shared" si="5"/>
        <v>0</v>
      </c>
      <c r="AA99" s="208">
        <f t="shared" si="5"/>
        <v>0</v>
      </c>
      <c r="AH99" s="208">
        <f t="shared" ref="AH99:AM99" si="6">AH9+AH11-AH37+AH91</f>
        <v>0</v>
      </c>
      <c r="AI99" s="208">
        <f t="shared" si="6"/>
        <v>0</v>
      </c>
      <c r="AJ99" s="208">
        <f t="shared" si="6"/>
        <v>0</v>
      </c>
      <c r="AL99" s="208">
        <f t="shared" si="6"/>
        <v>0</v>
      </c>
      <c r="AM99" s="208">
        <f t="shared" si="6"/>
        <v>0</v>
      </c>
    </row>
    <row r="102" spans="7:39" x14ac:dyDescent="0.2">
      <c r="AK102">
        <f>AK38+AK49+AK56+AK71+AK72</f>
        <v>154356973.52000001</v>
      </c>
    </row>
  </sheetData>
  <mergeCells count="367">
    <mergeCell ref="A2: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E2:E7"/>
    <mergeCell ref="F2:F7"/>
    <mergeCell ref="J2:M7"/>
    <mergeCell ref="J8:M8"/>
    <mergeCell ref="J9:M9"/>
    <mergeCell ref="J10:M10"/>
    <mergeCell ref="J11:M11"/>
    <mergeCell ref="J12:M12"/>
    <mergeCell ref="J13:M13"/>
    <mergeCell ref="J14:M14"/>
    <mergeCell ref="J15:M15"/>
    <mergeCell ref="J16:M16"/>
    <mergeCell ref="J17:M17"/>
    <mergeCell ref="J18:M18"/>
    <mergeCell ref="J19:M19"/>
    <mergeCell ref="J20:M20"/>
    <mergeCell ref="J21:M21"/>
    <mergeCell ref="J22:M22"/>
    <mergeCell ref="J23:M23"/>
    <mergeCell ref="J24:M24"/>
    <mergeCell ref="J25:M25"/>
    <mergeCell ref="J26:M26"/>
    <mergeCell ref="J27:M27"/>
    <mergeCell ref="J28:M28"/>
    <mergeCell ref="J29:M29"/>
    <mergeCell ref="J30:M30"/>
    <mergeCell ref="J31:M31"/>
    <mergeCell ref="J32:M32"/>
    <mergeCell ref="J33:M33"/>
    <mergeCell ref="J34:M34"/>
    <mergeCell ref="J35:M35"/>
    <mergeCell ref="J36:M36"/>
    <mergeCell ref="J37:M37"/>
    <mergeCell ref="J38:M38"/>
    <mergeCell ref="J39:M39"/>
    <mergeCell ref="J40:M40"/>
    <mergeCell ref="J41:M41"/>
    <mergeCell ref="J42:M42"/>
    <mergeCell ref="J43:M43"/>
    <mergeCell ref="J44:M44"/>
    <mergeCell ref="J45:M45"/>
    <mergeCell ref="J46:M46"/>
    <mergeCell ref="J47:M47"/>
    <mergeCell ref="J48:M48"/>
    <mergeCell ref="J49:M49"/>
    <mergeCell ref="J50:M50"/>
    <mergeCell ref="J51:M51"/>
    <mergeCell ref="J52:M52"/>
    <mergeCell ref="J53:M53"/>
    <mergeCell ref="J54:M54"/>
    <mergeCell ref="J55:M55"/>
    <mergeCell ref="J56:M56"/>
    <mergeCell ref="J57:M57"/>
    <mergeCell ref="J58:M58"/>
    <mergeCell ref="J71:M71"/>
    <mergeCell ref="J72:M72"/>
    <mergeCell ref="J73:M73"/>
    <mergeCell ref="J74:M74"/>
    <mergeCell ref="J75:M75"/>
    <mergeCell ref="J76:M76"/>
    <mergeCell ref="J59:M59"/>
    <mergeCell ref="J60:M60"/>
    <mergeCell ref="J61:M61"/>
    <mergeCell ref="J62:M62"/>
    <mergeCell ref="J63:M63"/>
    <mergeCell ref="J64:M64"/>
    <mergeCell ref="J65:M65"/>
    <mergeCell ref="J66:M66"/>
    <mergeCell ref="J67:M67"/>
    <mergeCell ref="J96:M96"/>
    <mergeCell ref="N2:N7"/>
    <mergeCell ref="O2:O7"/>
    <mergeCell ref="J90:M90"/>
    <mergeCell ref="J91:M91"/>
    <mergeCell ref="J92:M92"/>
    <mergeCell ref="J93:M93"/>
    <mergeCell ref="J94:M94"/>
    <mergeCell ref="J95:M95"/>
    <mergeCell ref="J84:M84"/>
    <mergeCell ref="J85:M85"/>
    <mergeCell ref="J86:M86"/>
    <mergeCell ref="J87:M87"/>
    <mergeCell ref="J88:M88"/>
    <mergeCell ref="J89:M89"/>
    <mergeCell ref="J77:M77"/>
    <mergeCell ref="J78:M78"/>
    <mergeCell ref="J79:M79"/>
    <mergeCell ref="J80:M80"/>
    <mergeCell ref="J82:M82"/>
    <mergeCell ref="J68:M68"/>
    <mergeCell ref="J69:M69"/>
    <mergeCell ref="J70:M70"/>
    <mergeCell ref="J83:M83"/>
    <mergeCell ref="S12:V12"/>
    <mergeCell ref="S13:V13"/>
    <mergeCell ref="S14:V14"/>
    <mergeCell ref="S15:V15"/>
    <mergeCell ref="S16:V16"/>
    <mergeCell ref="S17:V17"/>
    <mergeCell ref="S18:V18"/>
    <mergeCell ref="S19:V19"/>
    <mergeCell ref="S20:V20"/>
    <mergeCell ref="S21:V21"/>
    <mergeCell ref="S22:V22"/>
    <mergeCell ref="S23:V23"/>
    <mergeCell ref="S24:V24"/>
    <mergeCell ref="S25:V25"/>
    <mergeCell ref="S26:V26"/>
    <mergeCell ref="S27:V27"/>
    <mergeCell ref="S28:V28"/>
    <mergeCell ref="S29:V29"/>
    <mergeCell ref="S30:V30"/>
    <mergeCell ref="S31:V31"/>
    <mergeCell ref="S32:V32"/>
    <mergeCell ref="S33:V33"/>
    <mergeCell ref="S34:V34"/>
    <mergeCell ref="S35:V35"/>
    <mergeCell ref="S36:V36"/>
    <mergeCell ref="S37:V37"/>
    <mergeCell ref="S38:V38"/>
    <mergeCell ref="S39:V39"/>
    <mergeCell ref="S40:V40"/>
    <mergeCell ref="S41:V41"/>
    <mergeCell ref="S42:V42"/>
    <mergeCell ref="S43:V43"/>
    <mergeCell ref="S44:V44"/>
    <mergeCell ref="S45:V45"/>
    <mergeCell ref="S46:V46"/>
    <mergeCell ref="S47:V47"/>
    <mergeCell ref="S48:V48"/>
    <mergeCell ref="S49:V49"/>
    <mergeCell ref="S50:V50"/>
    <mergeCell ref="S51:V51"/>
    <mergeCell ref="S52:V52"/>
    <mergeCell ref="S53:V53"/>
    <mergeCell ref="S54:V54"/>
    <mergeCell ref="S55:V55"/>
    <mergeCell ref="S56:V56"/>
    <mergeCell ref="S57:V57"/>
    <mergeCell ref="S58:V58"/>
    <mergeCell ref="S59:V59"/>
    <mergeCell ref="S60:V60"/>
    <mergeCell ref="S61:V61"/>
    <mergeCell ref="S62:V62"/>
    <mergeCell ref="S63:V63"/>
    <mergeCell ref="S64:V64"/>
    <mergeCell ref="S65:V65"/>
    <mergeCell ref="S79:V79"/>
    <mergeCell ref="S80:V80"/>
    <mergeCell ref="S81:V81"/>
    <mergeCell ref="S82:V82"/>
    <mergeCell ref="S83:V83"/>
    <mergeCell ref="S66:V66"/>
    <mergeCell ref="S67:V67"/>
    <mergeCell ref="S68:V68"/>
    <mergeCell ref="S69:V69"/>
    <mergeCell ref="S70:V70"/>
    <mergeCell ref="S71:V71"/>
    <mergeCell ref="S72:V72"/>
    <mergeCell ref="S73:V73"/>
    <mergeCell ref="S74:V74"/>
    <mergeCell ref="S96:V96"/>
    <mergeCell ref="S2:V7"/>
    <mergeCell ref="W2:W7"/>
    <mergeCell ref="X2:X7"/>
    <mergeCell ref="S8:V8"/>
    <mergeCell ref="S9:V9"/>
    <mergeCell ref="S10:V10"/>
    <mergeCell ref="S11:V11"/>
    <mergeCell ref="S90:V90"/>
    <mergeCell ref="S91:V91"/>
    <mergeCell ref="S92:V92"/>
    <mergeCell ref="S93:V93"/>
    <mergeCell ref="S94:V94"/>
    <mergeCell ref="S95:V95"/>
    <mergeCell ref="S84:V84"/>
    <mergeCell ref="S85:V85"/>
    <mergeCell ref="S86:V86"/>
    <mergeCell ref="S87:V87"/>
    <mergeCell ref="S88:V88"/>
    <mergeCell ref="S89:V89"/>
    <mergeCell ref="S75:V75"/>
    <mergeCell ref="S76:V76"/>
    <mergeCell ref="S77:V77"/>
    <mergeCell ref="S78:V78"/>
    <mergeCell ref="AB2:AE7"/>
    <mergeCell ref="AB8:AE8"/>
    <mergeCell ref="AB9:AE9"/>
    <mergeCell ref="AB10:AE10"/>
    <mergeCell ref="AB11:AE11"/>
    <mergeCell ref="AB12:AE12"/>
    <mergeCell ref="AB13:AE13"/>
    <mergeCell ref="AB14:AE14"/>
    <mergeCell ref="AB15:AE15"/>
    <mergeCell ref="AB16:AE16"/>
    <mergeCell ref="AB17:AE17"/>
    <mergeCell ref="AB18:AE18"/>
    <mergeCell ref="AB19:AE19"/>
    <mergeCell ref="AB20:AE20"/>
    <mergeCell ref="AB21:AE21"/>
    <mergeCell ref="AB22:AE22"/>
    <mergeCell ref="AB23:AE23"/>
    <mergeCell ref="AB24:AE24"/>
    <mergeCell ref="AB25:AE25"/>
    <mergeCell ref="AB26:AE26"/>
    <mergeCell ref="AB27:AE27"/>
    <mergeCell ref="AB28:AE28"/>
    <mergeCell ref="AB29:AE29"/>
    <mergeCell ref="AB30:AE30"/>
    <mergeCell ref="AB31:AE31"/>
    <mergeCell ref="AB32:AE32"/>
    <mergeCell ref="AB33:AE33"/>
    <mergeCell ref="AB44:AE44"/>
    <mergeCell ref="AB45:AE45"/>
    <mergeCell ref="AB46:AE46"/>
    <mergeCell ref="AB47:AE47"/>
    <mergeCell ref="AB48:AE48"/>
    <mergeCell ref="AB49:AE49"/>
    <mergeCell ref="AB50:AE50"/>
    <mergeCell ref="AB51:AE51"/>
    <mergeCell ref="AB34:AE34"/>
    <mergeCell ref="AB35:AE35"/>
    <mergeCell ref="AB36:AE36"/>
    <mergeCell ref="AB37:AE37"/>
    <mergeCell ref="AB38:AE38"/>
    <mergeCell ref="AB39:AE39"/>
    <mergeCell ref="AB40:AE40"/>
    <mergeCell ref="AB41:AE41"/>
    <mergeCell ref="AB42:AE42"/>
    <mergeCell ref="AB95:AE95"/>
    <mergeCell ref="AB96:AE96"/>
    <mergeCell ref="AB85:AE85"/>
    <mergeCell ref="AB86:AE86"/>
    <mergeCell ref="AB87:AE87"/>
    <mergeCell ref="AB88:AE88"/>
    <mergeCell ref="AB89:AE89"/>
    <mergeCell ref="AB90:AE90"/>
    <mergeCell ref="AF2:AF7"/>
    <mergeCell ref="AB70:AE70"/>
    <mergeCell ref="AB71:AE71"/>
    <mergeCell ref="AB72:AE72"/>
    <mergeCell ref="AB83:AE83"/>
    <mergeCell ref="AB84:AE84"/>
    <mergeCell ref="AB73:AE73"/>
    <mergeCell ref="AB74:AE74"/>
    <mergeCell ref="AB75:AE75"/>
    <mergeCell ref="AB76:AE76"/>
    <mergeCell ref="AB77:AE77"/>
    <mergeCell ref="AB78:AE78"/>
    <mergeCell ref="AB61:AE61"/>
    <mergeCell ref="AB62:AE62"/>
    <mergeCell ref="AB63:AE63"/>
    <mergeCell ref="AB64:AE64"/>
    <mergeCell ref="AG2:AG7"/>
    <mergeCell ref="AB91:AE91"/>
    <mergeCell ref="AB92:AE92"/>
    <mergeCell ref="AB93:AE93"/>
    <mergeCell ref="AB94:AE94"/>
    <mergeCell ref="AB79:AE79"/>
    <mergeCell ref="AB80:AE80"/>
    <mergeCell ref="AB81:AE81"/>
    <mergeCell ref="AB82:AE82"/>
    <mergeCell ref="AB65:AE65"/>
    <mergeCell ref="AB66:AE66"/>
    <mergeCell ref="AB67:AE67"/>
    <mergeCell ref="AB68:AE68"/>
    <mergeCell ref="AB69:AE69"/>
    <mergeCell ref="AB52:AE52"/>
    <mergeCell ref="AB53:AE53"/>
    <mergeCell ref="AB54:AE54"/>
    <mergeCell ref="AB55:AE55"/>
    <mergeCell ref="AB56:AE56"/>
    <mergeCell ref="AB57:AE57"/>
    <mergeCell ref="AB58:AE58"/>
    <mergeCell ref="AB59:AE59"/>
    <mergeCell ref="AB60:AE60"/>
    <mergeCell ref="AB43:AE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E74"/>
  <sheetViews>
    <sheetView tabSelected="1" view="pageBreakPreview" topLeftCell="A7" zoomScale="130" zoomScaleSheetLayoutView="130" workbookViewId="0">
      <selection activeCell="DS15" sqref="DS15:EE15"/>
    </sheetView>
  </sheetViews>
  <sheetFormatPr defaultColWidth="0.85546875" defaultRowHeight="11.25" x14ac:dyDescent="0.2"/>
  <cols>
    <col min="1" max="60" width="0.85546875" style="89"/>
    <col min="61" max="61" width="0.85546875" style="89" customWidth="1"/>
    <col min="62" max="64" width="0.85546875" style="89"/>
    <col min="65" max="65" width="0.85546875" style="89" customWidth="1"/>
    <col min="66" max="75" width="0.85546875" style="89"/>
    <col min="76" max="77" width="0.85546875" style="89" customWidth="1"/>
    <col min="78" max="87" width="0.85546875" style="89"/>
    <col min="88" max="88" width="0.42578125" style="89" customWidth="1"/>
    <col min="89" max="90" width="0.85546875" style="89" hidden="1" customWidth="1"/>
    <col min="91" max="91" width="1.28515625" style="89" customWidth="1"/>
    <col min="92" max="92" width="0.85546875" style="89" customWidth="1"/>
    <col min="93" max="108" width="0.85546875" style="89"/>
    <col min="109" max="109" width="3.5703125" style="89" customWidth="1"/>
    <col min="110" max="122" width="0.85546875" style="255"/>
    <col min="123" max="16384" width="0.85546875" style="89"/>
  </cols>
  <sheetData>
    <row r="1" spans="1:161" s="88" customFormat="1" ht="13.5" customHeight="1" x14ac:dyDescent="0.15">
      <c r="B1" s="413" t="s">
        <v>161</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row>
    <row r="3" spans="1:161" ht="11.25" customHeight="1" x14ac:dyDescent="0.2">
      <c r="A3" s="414" t="s">
        <v>162</v>
      </c>
      <c r="B3" s="415"/>
      <c r="C3" s="415"/>
      <c r="D3" s="415"/>
      <c r="E3" s="415"/>
      <c r="F3" s="415"/>
      <c r="G3" s="415"/>
      <c r="H3" s="416"/>
      <c r="I3" s="423" t="s">
        <v>2</v>
      </c>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4"/>
      <c r="CN3" s="414" t="s">
        <v>163</v>
      </c>
      <c r="CO3" s="415"/>
      <c r="CP3" s="415"/>
      <c r="CQ3" s="415"/>
      <c r="CR3" s="415"/>
      <c r="CS3" s="415"/>
      <c r="CT3" s="415"/>
      <c r="CU3" s="416"/>
      <c r="CV3" s="414" t="s">
        <v>164</v>
      </c>
      <c r="CW3" s="415"/>
      <c r="CX3" s="415"/>
      <c r="CY3" s="415"/>
      <c r="CZ3" s="415"/>
      <c r="DA3" s="415"/>
      <c r="DB3" s="415"/>
      <c r="DC3" s="415"/>
      <c r="DD3" s="415"/>
      <c r="DE3" s="416"/>
      <c r="DF3" s="414" t="s">
        <v>439</v>
      </c>
      <c r="DG3" s="415"/>
      <c r="DH3" s="415"/>
      <c r="DI3" s="415"/>
      <c r="DJ3" s="415"/>
      <c r="DK3" s="415"/>
      <c r="DL3" s="415"/>
      <c r="DM3" s="415"/>
      <c r="DN3" s="415"/>
      <c r="DO3" s="415"/>
      <c r="DP3" s="415"/>
      <c r="DQ3" s="415"/>
      <c r="DR3" s="416"/>
      <c r="DS3" s="438" t="s">
        <v>100</v>
      </c>
      <c r="DT3" s="439"/>
      <c r="DU3" s="439"/>
      <c r="DV3" s="439"/>
      <c r="DW3" s="439"/>
      <c r="DX3" s="439"/>
      <c r="DY3" s="439"/>
      <c r="DZ3" s="439"/>
      <c r="EA3" s="439"/>
      <c r="EB3" s="439"/>
      <c r="EC3" s="439"/>
      <c r="ED3" s="439"/>
      <c r="EE3" s="439"/>
      <c r="EF3" s="439"/>
      <c r="EG3" s="439"/>
      <c r="EH3" s="439"/>
      <c r="EI3" s="439"/>
      <c r="EJ3" s="439"/>
      <c r="EK3" s="439"/>
      <c r="EL3" s="439"/>
      <c r="EM3" s="439"/>
      <c r="EN3" s="439"/>
      <c r="EO3" s="439"/>
      <c r="EP3" s="439"/>
      <c r="EQ3" s="439"/>
      <c r="ER3" s="439"/>
      <c r="ES3" s="439"/>
      <c r="ET3" s="439"/>
      <c r="EU3" s="439"/>
      <c r="EV3" s="439"/>
      <c r="EW3" s="439"/>
      <c r="EX3" s="439"/>
      <c r="EY3" s="439"/>
      <c r="EZ3" s="439"/>
      <c r="FA3" s="439"/>
      <c r="FB3" s="439"/>
      <c r="FC3" s="439"/>
      <c r="FD3" s="439"/>
      <c r="FE3" s="440"/>
    </row>
    <row r="4" spans="1:161" ht="11.25" customHeight="1" x14ac:dyDescent="0.2">
      <c r="A4" s="417"/>
      <c r="B4" s="418"/>
      <c r="C4" s="418"/>
      <c r="D4" s="418"/>
      <c r="E4" s="418"/>
      <c r="F4" s="418"/>
      <c r="G4" s="418"/>
      <c r="H4" s="419"/>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6"/>
      <c r="CN4" s="417"/>
      <c r="CO4" s="429"/>
      <c r="CP4" s="429"/>
      <c r="CQ4" s="429"/>
      <c r="CR4" s="429"/>
      <c r="CS4" s="429"/>
      <c r="CT4" s="429"/>
      <c r="CU4" s="419"/>
      <c r="CV4" s="417"/>
      <c r="CW4" s="429"/>
      <c r="CX4" s="429"/>
      <c r="CY4" s="429"/>
      <c r="CZ4" s="429"/>
      <c r="DA4" s="429"/>
      <c r="DB4" s="429"/>
      <c r="DC4" s="429"/>
      <c r="DD4" s="429"/>
      <c r="DE4" s="419"/>
      <c r="DF4" s="417"/>
      <c r="DG4" s="418"/>
      <c r="DH4" s="418"/>
      <c r="DI4" s="418"/>
      <c r="DJ4" s="418"/>
      <c r="DK4" s="418"/>
      <c r="DL4" s="418"/>
      <c r="DM4" s="418"/>
      <c r="DN4" s="418"/>
      <c r="DO4" s="418"/>
      <c r="DP4" s="418"/>
      <c r="DQ4" s="418"/>
      <c r="DR4" s="419"/>
      <c r="DS4" s="430" t="s">
        <v>165</v>
      </c>
      <c r="DT4" s="431"/>
      <c r="DU4" s="431"/>
      <c r="DV4" s="431"/>
      <c r="DW4" s="431"/>
      <c r="DX4" s="431"/>
      <c r="DY4" s="432" t="s">
        <v>277</v>
      </c>
      <c r="DZ4" s="432"/>
      <c r="EA4" s="432"/>
      <c r="EB4" s="433" t="s">
        <v>166</v>
      </c>
      <c r="EC4" s="433"/>
      <c r="ED4" s="433"/>
      <c r="EE4" s="434"/>
      <c r="EF4" s="430" t="s">
        <v>165</v>
      </c>
      <c r="EG4" s="431"/>
      <c r="EH4" s="431"/>
      <c r="EI4" s="431"/>
      <c r="EJ4" s="431"/>
      <c r="EK4" s="431"/>
      <c r="EL4" s="432" t="s">
        <v>278</v>
      </c>
      <c r="EM4" s="432"/>
      <c r="EN4" s="432"/>
      <c r="EO4" s="433" t="s">
        <v>166</v>
      </c>
      <c r="EP4" s="433"/>
      <c r="EQ4" s="433"/>
      <c r="ER4" s="434"/>
      <c r="ES4" s="430" t="s">
        <v>165</v>
      </c>
      <c r="ET4" s="431"/>
      <c r="EU4" s="431"/>
      <c r="EV4" s="431"/>
      <c r="EW4" s="431"/>
      <c r="EX4" s="431"/>
      <c r="EY4" s="432" t="s">
        <v>279</v>
      </c>
      <c r="EZ4" s="432"/>
      <c r="FA4" s="432"/>
      <c r="FB4" s="433" t="s">
        <v>166</v>
      </c>
      <c r="FC4" s="433"/>
      <c r="FD4" s="433"/>
      <c r="FE4" s="434"/>
    </row>
    <row r="5" spans="1:161" ht="39" customHeight="1" x14ac:dyDescent="0.2">
      <c r="A5" s="420"/>
      <c r="B5" s="421"/>
      <c r="C5" s="421"/>
      <c r="D5" s="421"/>
      <c r="E5" s="421"/>
      <c r="F5" s="421"/>
      <c r="G5" s="421"/>
      <c r="H5" s="422"/>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c r="BW5" s="427"/>
      <c r="BX5" s="427"/>
      <c r="BY5" s="427"/>
      <c r="BZ5" s="427"/>
      <c r="CA5" s="427"/>
      <c r="CB5" s="427"/>
      <c r="CC5" s="427"/>
      <c r="CD5" s="427"/>
      <c r="CE5" s="427"/>
      <c r="CF5" s="427"/>
      <c r="CG5" s="427"/>
      <c r="CH5" s="427"/>
      <c r="CI5" s="427"/>
      <c r="CJ5" s="427"/>
      <c r="CK5" s="427"/>
      <c r="CL5" s="427"/>
      <c r="CM5" s="428"/>
      <c r="CN5" s="420"/>
      <c r="CO5" s="421"/>
      <c r="CP5" s="421"/>
      <c r="CQ5" s="421"/>
      <c r="CR5" s="421"/>
      <c r="CS5" s="421"/>
      <c r="CT5" s="421"/>
      <c r="CU5" s="422"/>
      <c r="CV5" s="420"/>
      <c r="CW5" s="421"/>
      <c r="CX5" s="421"/>
      <c r="CY5" s="421"/>
      <c r="CZ5" s="421"/>
      <c r="DA5" s="421"/>
      <c r="DB5" s="421"/>
      <c r="DC5" s="421"/>
      <c r="DD5" s="421"/>
      <c r="DE5" s="422"/>
      <c r="DF5" s="420"/>
      <c r="DG5" s="421"/>
      <c r="DH5" s="421"/>
      <c r="DI5" s="421"/>
      <c r="DJ5" s="421"/>
      <c r="DK5" s="421"/>
      <c r="DL5" s="421"/>
      <c r="DM5" s="421"/>
      <c r="DN5" s="421"/>
      <c r="DO5" s="421"/>
      <c r="DP5" s="421"/>
      <c r="DQ5" s="421"/>
      <c r="DR5" s="422"/>
      <c r="DS5" s="435" t="s">
        <v>167</v>
      </c>
      <c r="DT5" s="436"/>
      <c r="DU5" s="436"/>
      <c r="DV5" s="436"/>
      <c r="DW5" s="436"/>
      <c r="DX5" s="436"/>
      <c r="DY5" s="436"/>
      <c r="DZ5" s="436"/>
      <c r="EA5" s="436"/>
      <c r="EB5" s="436"/>
      <c r="EC5" s="436"/>
      <c r="ED5" s="436"/>
      <c r="EE5" s="437"/>
      <c r="EF5" s="435" t="s">
        <v>168</v>
      </c>
      <c r="EG5" s="436"/>
      <c r="EH5" s="436"/>
      <c r="EI5" s="436"/>
      <c r="EJ5" s="436"/>
      <c r="EK5" s="436"/>
      <c r="EL5" s="436"/>
      <c r="EM5" s="436"/>
      <c r="EN5" s="436"/>
      <c r="EO5" s="436"/>
      <c r="EP5" s="436"/>
      <c r="EQ5" s="436"/>
      <c r="ER5" s="437"/>
      <c r="ES5" s="435" t="s">
        <v>169</v>
      </c>
      <c r="ET5" s="436"/>
      <c r="EU5" s="436"/>
      <c r="EV5" s="436"/>
      <c r="EW5" s="436"/>
      <c r="EX5" s="436"/>
      <c r="EY5" s="436"/>
      <c r="EZ5" s="436"/>
      <c r="FA5" s="436"/>
      <c r="FB5" s="436"/>
      <c r="FC5" s="436"/>
      <c r="FD5" s="436"/>
      <c r="FE5" s="437"/>
    </row>
    <row r="6" spans="1:161" ht="12" thickBot="1" x14ac:dyDescent="0.25">
      <c r="A6" s="441" t="s">
        <v>17</v>
      </c>
      <c r="B6" s="442"/>
      <c r="C6" s="442"/>
      <c r="D6" s="442"/>
      <c r="E6" s="442"/>
      <c r="F6" s="442"/>
      <c r="G6" s="442"/>
      <c r="H6" s="443"/>
      <c r="I6" s="442" t="s">
        <v>18</v>
      </c>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3"/>
      <c r="CN6" s="444" t="s">
        <v>19</v>
      </c>
      <c r="CO6" s="445"/>
      <c r="CP6" s="445"/>
      <c r="CQ6" s="445"/>
      <c r="CR6" s="445"/>
      <c r="CS6" s="445"/>
      <c r="CT6" s="445"/>
      <c r="CU6" s="446"/>
      <c r="CV6" s="444" t="s">
        <v>20</v>
      </c>
      <c r="CW6" s="445"/>
      <c r="CX6" s="445"/>
      <c r="CY6" s="445"/>
      <c r="CZ6" s="445"/>
      <c r="DA6" s="445"/>
      <c r="DB6" s="445"/>
      <c r="DC6" s="445"/>
      <c r="DD6" s="445"/>
      <c r="DE6" s="446"/>
      <c r="DF6" s="254"/>
      <c r="DG6" s="467" t="s">
        <v>438</v>
      </c>
      <c r="DH6" s="467"/>
      <c r="DI6" s="467"/>
      <c r="DJ6" s="467"/>
      <c r="DK6" s="467"/>
      <c r="DL6" s="467"/>
      <c r="DM6" s="467"/>
      <c r="DN6" s="467"/>
      <c r="DO6" s="467"/>
      <c r="DP6" s="467"/>
      <c r="DQ6" s="467"/>
      <c r="DR6" s="468"/>
      <c r="DS6" s="447" t="s">
        <v>21</v>
      </c>
      <c r="DT6" s="448"/>
      <c r="DU6" s="448"/>
      <c r="DV6" s="448"/>
      <c r="DW6" s="448"/>
      <c r="DX6" s="448"/>
      <c r="DY6" s="448"/>
      <c r="DZ6" s="448"/>
      <c r="EA6" s="448"/>
      <c r="EB6" s="448"/>
      <c r="EC6" s="448"/>
      <c r="ED6" s="448"/>
      <c r="EE6" s="449"/>
      <c r="EF6" s="447" t="s">
        <v>22</v>
      </c>
      <c r="EG6" s="448"/>
      <c r="EH6" s="448"/>
      <c r="EI6" s="448"/>
      <c r="EJ6" s="448"/>
      <c r="EK6" s="448"/>
      <c r="EL6" s="448"/>
      <c r="EM6" s="448"/>
      <c r="EN6" s="448"/>
      <c r="EO6" s="448"/>
      <c r="EP6" s="448"/>
      <c r="EQ6" s="448"/>
      <c r="ER6" s="449"/>
      <c r="ES6" s="447" t="s">
        <v>23</v>
      </c>
      <c r="ET6" s="448"/>
      <c r="EU6" s="448"/>
      <c r="EV6" s="448"/>
      <c r="EW6" s="448"/>
      <c r="EX6" s="448"/>
      <c r="EY6" s="448"/>
      <c r="EZ6" s="448"/>
      <c r="FA6" s="448"/>
      <c r="FB6" s="448"/>
      <c r="FC6" s="448"/>
      <c r="FD6" s="448"/>
      <c r="FE6" s="449"/>
    </row>
    <row r="7" spans="1:161" ht="12.75" customHeight="1" x14ac:dyDescent="0.2">
      <c r="A7" s="450">
        <v>1</v>
      </c>
      <c r="B7" s="451"/>
      <c r="C7" s="451"/>
      <c r="D7" s="451"/>
      <c r="E7" s="451"/>
      <c r="F7" s="451"/>
      <c r="G7" s="451"/>
      <c r="H7" s="452"/>
      <c r="I7" s="453" t="s">
        <v>170</v>
      </c>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c r="CA7" s="454"/>
      <c r="CB7" s="454"/>
      <c r="CC7" s="454"/>
      <c r="CD7" s="454"/>
      <c r="CE7" s="454"/>
      <c r="CF7" s="454"/>
      <c r="CG7" s="454"/>
      <c r="CH7" s="454"/>
      <c r="CI7" s="454"/>
      <c r="CJ7" s="454"/>
      <c r="CK7" s="454"/>
      <c r="CL7" s="454"/>
      <c r="CM7" s="454"/>
      <c r="CN7" s="455" t="s">
        <v>171</v>
      </c>
      <c r="CO7" s="456"/>
      <c r="CP7" s="456"/>
      <c r="CQ7" s="456"/>
      <c r="CR7" s="456"/>
      <c r="CS7" s="456"/>
      <c r="CT7" s="456"/>
      <c r="CU7" s="457"/>
      <c r="CV7" s="395" t="s">
        <v>61</v>
      </c>
      <c r="CW7" s="393"/>
      <c r="CX7" s="393"/>
      <c r="CY7" s="393"/>
      <c r="CZ7" s="393"/>
      <c r="DA7" s="393"/>
      <c r="DB7" s="393"/>
      <c r="DC7" s="393"/>
      <c r="DD7" s="393"/>
      <c r="DE7" s="394"/>
      <c r="DF7" s="395" t="s">
        <v>61</v>
      </c>
      <c r="DG7" s="393"/>
      <c r="DH7" s="393"/>
      <c r="DI7" s="393"/>
      <c r="DJ7" s="393"/>
      <c r="DK7" s="393"/>
      <c r="DL7" s="393"/>
      <c r="DM7" s="393"/>
      <c r="DN7" s="393"/>
      <c r="DO7" s="393"/>
      <c r="DP7" s="393"/>
      <c r="DQ7" s="393"/>
      <c r="DR7" s="394"/>
      <c r="DS7" s="458">
        <f>'Раздел 1'!H109</f>
        <v>52802387.090000004</v>
      </c>
      <c r="DT7" s="459"/>
      <c r="DU7" s="459"/>
      <c r="DV7" s="459"/>
      <c r="DW7" s="459"/>
      <c r="DX7" s="459"/>
      <c r="DY7" s="459"/>
      <c r="DZ7" s="459"/>
      <c r="EA7" s="459"/>
      <c r="EB7" s="459"/>
      <c r="EC7" s="459"/>
      <c r="ED7" s="459"/>
      <c r="EE7" s="460"/>
      <c r="EF7" s="458">
        <f>'Раздел 1'!I109</f>
        <v>40428682.600000001</v>
      </c>
      <c r="EG7" s="459"/>
      <c r="EH7" s="459"/>
      <c r="EI7" s="459"/>
      <c r="EJ7" s="459"/>
      <c r="EK7" s="459"/>
      <c r="EL7" s="459"/>
      <c r="EM7" s="459"/>
      <c r="EN7" s="459"/>
      <c r="EO7" s="459"/>
      <c r="EP7" s="459"/>
      <c r="EQ7" s="459"/>
      <c r="ER7" s="460"/>
      <c r="ES7" s="458">
        <f>'Раздел 1'!J109</f>
        <v>20053559.899999999</v>
      </c>
      <c r="ET7" s="459"/>
      <c r="EU7" s="459"/>
      <c r="EV7" s="459"/>
      <c r="EW7" s="459"/>
      <c r="EX7" s="459"/>
      <c r="EY7" s="459"/>
      <c r="EZ7" s="459"/>
      <c r="FA7" s="459"/>
      <c r="FB7" s="459"/>
      <c r="FC7" s="459"/>
      <c r="FD7" s="459"/>
      <c r="FE7" s="460"/>
    </row>
    <row r="8" spans="1:161" ht="101.25" customHeight="1" x14ac:dyDescent="0.2">
      <c r="A8" s="347" t="s">
        <v>172</v>
      </c>
      <c r="B8" s="348"/>
      <c r="C8" s="348"/>
      <c r="D8" s="348"/>
      <c r="E8" s="348"/>
      <c r="F8" s="348"/>
      <c r="G8" s="348"/>
      <c r="H8" s="349"/>
      <c r="I8" s="409" t="s">
        <v>173</v>
      </c>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c r="BQ8" s="410"/>
      <c r="BR8" s="410"/>
      <c r="BS8" s="410"/>
      <c r="BT8" s="410"/>
      <c r="BU8" s="410"/>
      <c r="BV8" s="410"/>
      <c r="BW8" s="410"/>
      <c r="BX8" s="410"/>
      <c r="BY8" s="410"/>
      <c r="BZ8" s="410"/>
      <c r="CA8" s="410"/>
      <c r="CB8" s="410"/>
      <c r="CC8" s="410"/>
      <c r="CD8" s="410"/>
      <c r="CE8" s="410"/>
      <c r="CF8" s="410"/>
      <c r="CG8" s="410"/>
      <c r="CH8" s="410"/>
      <c r="CI8" s="410"/>
      <c r="CJ8" s="410"/>
      <c r="CK8" s="410"/>
      <c r="CL8" s="410"/>
      <c r="CM8" s="410"/>
      <c r="CN8" s="351" t="s">
        <v>174</v>
      </c>
      <c r="CO8" s="348"/>
      <c r="CP8" s="348"/>
      <c r="CQ8" s="348"/>
      <c r="CR8" s="348"/>
      <c r="CS8" s="348"/>
      <c r="CT8" s="348"/>
      <c r="CU8" s="349"/>
      <c r="CV8" s="347" t="s">
        <v>61</v>
      </c>
      <c r="CW8" s="348"/>
      <c r="CX8" s="348"/>
      <c r="CY8" s="348"/>
      <c r="CZ8" s="348"/>
      <c r="DA8" s="348"/>
      <c r="DB8" s="348"/>
      <c r="DC8" s="348"/>
      <c r="DD8" s="348"/>
      <c r="DE8" s="349"/>
      <c r="DF8" s="347"/>
      <c r="DG8" s="348"/>
      <c r="DH8" s="348"/>
      <c r="DI8" s="348"/>
      <c r="DJ8" s="348"/>
      <c r="DK8" s="348"/>
      <c r="DL8" s="348"/>
      <c r="DM8" s="348"/>
      <c r="DN8" s="348"/>
      <c r="DO8" s="348"/>
      <c r="DP8" s="348"/>
      <c r="DQ8" s="348"/>
      <c r="DR8" s="349"/>
      <c r="DS8" s="352">
        <v>0</v>
      </c>
      <c r="DT8" s="353"/>
      <c r="DU8" s="353"/>
      <c r="DV8" s="353"/>
      <c r="DW8" s="353"/>
      <c r="DX8" s="353"/>
      <c r="DY8" s="353"/>
      <c r="DZ8" s="353"/>
      <c r="EA8" s="353"/>
      <c r="EB8" s="353"/>
      <c r="EC8" s="353"/>
      <c r="ED8" s="353"/>
      <c r="EE8" s="354"/>
      <c r="EF8" s="352">
        <v>0</v>
      </c>
      <c r="EG8" s="353"/>
      <c r="EH8" s="353"/>
      <c r="EI8" s="353"/>
      <c r="EJ8" s="353"/>
      <c r="EK8" s="353"/>
      <c r="EL8" s="353"/>
      <c r="EM8" s="353"/>
      <c r="EN8" s="353"/>
      <c r="EO8" s="353"/>
      <c r="EP8" s="353"/>
      <c r="EQ8" s="353"/>
      <c r="ER8" s="354"/>
      <c r="ES8" s="352">
        <v>0</v>
      </c>
      <c r="ET8" s="353"/>
      <c r="EU8" s="353"/>
      <c r="EV8" s="353"/>
      <c r="EW8" s="353"/>
      <c r="EX8" s="353"/>
      <c r="EY8" s="353"/>
      <c r="EZ8" s="353"/>
      <c r="FA8" s="353"/>
      <c r="FB8" s="353"/>
      <c r="FC8" s="353"/>
      <c r="FD8" s="353"/>
      <c r="FE8" s="354"/>
    </row>
    <row r="9" spans="1:161" ht="31.5" customHeight="1" x14ac:dyDescent="0.2">
      <c r="A9" s="347" t="s">
        <v>175</v>
      </c>
      <c r="B9" s="348"/>
      <c r="C9" s="348"/>
      <c r="D9" s="348"/>
      <c r="E9" s="348"/>
      <c r="F9" s="348"/>
      <c r="G9" s="348"/>
      <c r="H9" s="349"/>
      <c r="I9" s="409" t="s">
        <v>176</v>
      </c>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0"/>
      <c r="BQ9" s="410"/>
      <c r="BR9" s="410"/>
      <c r="BS9" s="410"/>
      <c r="BT9" s="410"/>
      <c r="BU9" s="410"/>
      <c r="BV9" s="410"/>
      <c r="BW9" s="410"/>
      <c r="BX9" s="410"/>
      <c r="BY9" s="410"/>
      <c r="BZ9" s="410"/>
      <c r="CA9" s="410"/>
      <c r="CB9" s="410"/>
      <c r="CC9" s="410"/>
      <c r="CD9" s="410"/>
      <c r="CE9" s="410"/>
      <c r="CF9" s="410"/>
      <c r="CG9" s="410"/>
      <c r="CH9" s="410"/>
      <c r="CI9" s="410"/>
      <c r="CJ9" s="410"/>
      <c r="CK9" s="410"/>
      <c r="CL9" s="410"/>
      <c r="CM9" s="410"/>
      <c r="CN9" s="351" t="s">
        <v>177</v>
      </c>
      <c r="CO9" s="348"/>
      <c r="CP9" s="348"/>
      <c r="CQ9" s="348"/>
      <c r="CR9" s="348"/>
      <c r="CS9" s="348"/>
      <c r="CT9" s="348"/>
      <c r="CU9" s="349"/>
      <c r="CV9" s="347" t="s">
        <v>61</v>
      </c>
      <c r="CW9" s="348"/>
      <c r="CX9" s="348"/>
      <c r="CY9" s="348"/>
      <c r="CZ9" s="348"/>
      <c r="DA9" s="348"/>
      <c r="DB9" s="348"/>
      <c r="DC9" s="348"/>
      <c r="DD9" s="348"/>
      <c r="DE9" s="349"/>
      <c r="DF9" s="347"/>
      <c r="DG9" s="348"/>
      <c r="DH9" s="348"/>
      <c r="DI9" s="348"/>
      <c r="DJ9" s="348"/>
      <c r="DK9" s="348"/>
      <c r="DL9" s="348"/>
      <c r="DM9" s="348"/>
      <c r="DN9" s="348"/>
      <c r="DO9" s="348"/>
      <c r="DP9" s="348"/>
      <c r="DQ9" s="348"/>
      <c r="DR9" s="349"/>
      <c r="DS9" s="352">
        <v>0</v>
      </c>
      <c r="DT9" s="353"/>
      <c r="DU9" s="353"/>
      <c r="DV9" s="353"/>
      <c r="DW9" s="353"/>
      <c r="DX9" s="353"/>
      <c r="DY9" s="353"/>
      <c r="DZ9" s="353"/>
      <c r="EA9" s="353"/>
      <c r="EB9" s="353"/>
      <c r="EC9" s="353"/>
      <c r="ED9" s="353"/>
      <c r="EE9" s="354"/>
      <c r="EF9" s="352">
        <v>0</v>
      </c>
      <c r="EG9" s="353"/>
      <c r="EH9" s="353"/>
      <c r="EI9" s="353"/>
      <c r="EJ9" s="353"/>
      <c r="EK9" s="353"/>
      <c r="EL9" s="353"/>
      <c r="EM9" s="353"/>
      <c r="EN9" s="353"/>
      <c r="EO9" s="353"/>
      <c r="EP9" s="353"/>
      <c r="EQ9" s="353"/>
      <c r="ER9" s="354"/>
      <c r="ES9" s="352">
        <v>0</v>
      </c>
      <c r="ET9" s="353"/>
      <c r="EU9" s="353"/>
      <c r="EV9" s="353"/>
      <c r="EW9" s="353"/>
      <c r="EX9" s="353"/>
      <c r="EY9" s="353"/>
      <c r="EZ9" s="353"/>
      <c r="FA9" s="353"/>
      <c r="FB9" s="353"/>
      <c r="FC9" s="353"/>
      <c r="FD9" s="353"/>
      <c r="FE9" s="354"/>
    </row>
    <row r="10" spans="1:161" ht="30.75" customHeight="1" x14ac:dyDescent="0.2">
      <c r="A10" s="347" t="s">
        <v>178</v>
      </c>
      <c r="B10" s="348"/>
      <c r="C10" s="348"/>
      <c r="D10" s="348"/>
      <c r="E10" s="348"/>
      <c r="F10" s="348"/>
      <c r="G10" s="348"/>
      <c r="H10" s="349"/>
      <c r="I10" s="409" t="s">
        <v>179</v>
      </c>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351" t="s">
        <v>180</v>
      </c>
      <c r="CO10" s="348"/>
      <c r="CP10" s="348"/>
      <c r="CQ10" s="348"/>
      <c r="CR10" s="348"/>
      <c r="CS10" s="348"/>
      <c r="CT10" s="348"/>
      <c r="CU10" s="349"/>
      <c r="CV10" s="347" t="s">
        <v>61</v>
      </c>
      <c r="CW10" s="348"/>
      <c r="CX10" s="348"/>
      <c r="CY10" s="348"/>
      <c r="CZ10" s="348"/>
      <c r="DA10" s="348"/>
      <c r="DB10" s="348"/>
      <c r="DC10" s="348"/>
      <c r="DD10" s="348"/>
      <c r="DE10" s="349"/>
      <c r="DF10" s="347"/>
      <c r="DG10" s="348"/>
      <c r="DH10" s="348"/>
      <c r="DI10" s="348"/>
      <c r="DJ10" s="348"/>
      <c r="DK10" s="348"/>
      <c r="DL10" s="348"/>
      <c r="DM10" s="348"/>
      <c r="DN10" s="348"/>
      <c r="DO10" s="348"/>
      <c r="DP10" s="348"/>
      <c r="DQ10" s="348"/>
      <c r="DR10" s="349"/>
      <c r="DS10" s="406">
        <v>18235160</v>
      </c>
      <c r="DT10" s="407"/>
      <c r="DU10" s="407"/>
      <c r="DV10" s="407"/>
      <c r="DW10" s="407"/>
      <c r="DX10" s="407"/>
      <c r="DY10" s="407"/>
      <c r="DZ10" s="407"/>
      <c r="EA10" s="407"/>
      <c r="EB10" s="407"/>
      <c r="EC10" s="407"/>
      <c r="ED10" s="407"/>
      <c r="EE10" s="408"/>
      <c r="EF10" s="406">
        <f>574300+20000000</f>
        <v>20574300</v>
      </c>
      <c r="EG10" s="407"/>
      <c r="EH10" s="407"/>
      <c r="EI10" s="407"/>
      <c r="EJ10" s="407"/>
      <c r="EK10" s="407"/>
      <c r="EL10" s="407"/>
      <c r="EM10" s="407"/>
      <c r="EN10" s="407"/>
      <c r="EO10" s="407"/>
      <c r="EP10" s="407"/>
      <c r="EQ10" s="407"/>
      <c r="ER10" s="408"/>
      <c r="ES10" s="406">
        <v>3000000</v>
      </c>
      <c r="ET10" s="407"/>
      <c r="EU10" s="407"/>
      <c r="EV10" s="407"/>
      <c r="EW10" s="407"/>
      <c r="EX10" s="407"/>
      <c r="EY10" s="407"/>
      <c r="EZ10" s="407"/>
      <c r="FA10" s="407"/>
      <c r="FB10" s="407"/>
      <c r="FC10" s="407"/>
      <c r="FD10" s="407"/>
      <c r="FE10" s="408"/>
    </row>
    <row r="11" spans="1:161" s="248" customFormat="1" ht="30.75" customHeight="1" x14ac:dyDescent="0.2">
      <c r="A11" s="347" t="s">
        <v>417</v>
      </c>
      <c r="B11" s="348"/>
      <c r="C11" s="348"/>
      <c r="D11" s="348"/>
      <c r="E11" s="348"/>
      <c r="F11" s="348"/>
      <c r="G11" s="348"/>
      <c r="H11" s="349"/>
      <c r="I11" s="409" t="s">
        <v>418</v>
      </c>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411"/>
      <c r="BV11" s="411"/>
      <c r="BW11" s="411"/>
      <c r="BX11" s="411"/>
      <c r="BY11" s="411"/>
      <c r="BZ11" s="411"/>
      <c r="CA11" s="411"/>
      <c r="CB11" s="411"/>
      <c r="CC11" s="411"/>
      <c r="CD11" s="411"/>
      <c r="CE11" s="411"/>
      <c r="CF11" s="411"/>
      <c r="CG11" s="411"/>
      <c r="CH11" s="411"/>
      <c r="CI11" s="411"/>
      <c r="CJ11" s="411"/>
      <c r="CK11" s="411"/>
      <c r="CL11" s="411"/>
      <c r="CM11" s="412"/>
      <c r="CN11" s="351" t="s">
        <v>419</v>
      </c>
      <c r="CO11" s="348"/>
      <c r="CP11" s="348"/>
      <c r="CQ11" s="348"/>
      <c r="CR11" s="348"/>
      <c r="CS11" s="348"/>
      <c r="CT11" s="348"/>
      <c r="CU11" s="349"/>
      <c r="CV11" s="347" t="s">
        <v>61</v>
      </c>
      <c r="CW11" s="348"/>
      <c r="CX11" s="348"/>
      <c r="CY11" s="348"/>
      <c r="CZ11" s="348"/>
      <c r="DA11" s="348"/>
      <c r="DB11" s="348"/>
      <c r="DC11" s="348"/>
      <c r="DD11" s="348"/>
      <c r="DE11" s="349"/>
      <c r="DF11" s="347"/>
      <c r="DG11" s="348"/>
      <c r="DH11" s="348"/>
      <c r="DI11" s="348"/>
      <c r="DJ11" s="348"/>
      <c r="DK11" s="348"/>
      <c r="DL11" s="348"/>
      <c r="DM11" s="348"/>
      <c r="DN11" s="348"/>
      <c r="DO11" s="348"/>
      <c r="DP11" s="348"/>
      <c r="DQ11" s="348"/>
      <c r="DR11" s="349"/>
      <c r="DS11" s="406">
        <v>18235160</v>
      </c>
      <c r="DT11" s="407"/>
      <c r="DU11" s="407"/>
      <c r="DV11" s="407"/>
      <c r="DW11" s="407"/>
      <c r="DX11" s="407"/>
      <c r="DY11" s="407"/>
      <c r="DZ11" s="407"/>
      <c r="EA11" s="407"/>
      <c r="EB11" s="407"/>
      <c r="EC11" s="407"/>
      <c r="ED11" s="407"/>
      <c r="EE11" s="408"/>
      <c r="EF11" s="406">
        <v>20574300</v>
      </c>
      <c r="EG11" s="407"/>
      <c r="EH11" s="407"/>
      <c r="EI11" s="407"/>
      <c r="EJ11" s="407"/>
      <c r="EK11" s="407"/>
      <c r="EL11" s="407"/>
      <c r="EM11" s="407"/>
      <c r="EN11" s="407"/>
      <c r="EO11" s="407"/>
      <c r="EP11" s="407"/>
      <c r="EQ11" s="407"/>
      <c r="ER11" s="408"/>
      <c r="ES11" s="406">
        <v>3000000</v>
      </c>
      <c r="ET11" s="407"/>
      <c r="EU11" s="407"/>
      <c r="EV11" s="407"/>
      <c r="EW11" s="407"/>
      <c r="EX11" s="407"/>
      <c r="EY11" s="407"/>
      <c r="EZ11" s="407"/>
      <c r="FA11" s="407"/>
      <c r="FB11" s="407"/>
      <c r="FC11" s="407"/>
      <c r="FD11" s="407"/>
      <c r="FE11" s="408"/>
    </row>
    <row r="12" spans="1:161" s="248" customFormat="1" ht="30.75" customHeight="1" x14ac:dyDescent="0.2">
      <c r="A12" s="347"/>
      <c r="B12" s="348"/>
      <c r="C12" s="348"/>
      <c r="D12" s="348"/>
      <c r="E12" s="348"/>
      <c r="F12" s="348"/>
      <c r="G12" s="348"/>
      <c r="H12" s="349"/>
      <c r="I12" s="409" t="s">
        <v>425</v>
      </c>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1"/>
      <c r="BO12" s="411"/>
      <c r="BP12" s="411"/>
      <c r="BQ12" s="411"/>
      <c r="BR12" s="411"/>
      <c r="BS12" s="411"/>
      <c r="BT12" s="411"/>
      <c r="BU12" s="411"/>
      <c r="BV12" s="411"/>
      <c r="BW12" s="411"/>
      <c r="BX12" s="411"/>
      <c r="BY12" s="411"/>
      <c r="BZ12" s="411"/>
      <c r="CA12" s="411"/>
      <c r="CB12" s="411"/>
      <c r="CC12" s="411"/>
      <c r="CD12" s="411"/>
      <c r="CE12" s="411"/>
      <c r="CF12" s="411"/>
      <c r="CG12" s="411"/>
      <c r="CH12" s="411"/>
      <c r="CI12" s="411"/>
      <c r="CJ12" s="411"/>
      <c r="CK12" s="411"/>
      <c r="CL12" s="411"/>
      <c r="CM12" s="412"/>
      <c r="CN12" s="351" t="s">
        <v>420</v>
      </c>
      <c r="CO12" s="348"/>
      <c r="CP12" s="348"/>
      <c r="CQ12" s="348"/>
      <c r="CR12" s="348"/>
      <c r="CS12" s="348"/>
      <c r="CT12" s="348"/>
      <c r="CU12" s="349"/>
      <c r="CV12" s="347" t="s">
        <v>61</v>
      </c>
      <c r="CW12" s="348"/>
      <c r="CX12" s="348"/>
      <c r="CY12" s="348"/>
      <c r="CZ12" s="348"/>
      <c r="DA12" s="348"/>
      <c r="DB12" s="348"/>
      <c r="DC12" s="348"/>
      <c r="DD12" s="348"/>
      <c r="DE12" s="349"/>
      <c r="DF12" s="347"/>
      <c r="DG12" s="348"/>
      <c r="DH12" s="348"/>
      <c r="DI12" s="348"/>
      <c r="DJ12" s="348"/>
      <c r="DK12" s="348"/>
      <c r="DL12" s="348"/>
      <c r="DM12" s="348"/>
      <c r="DN12" s="348"/>
      <c r="DO12" s="348"/>
      <c r="DP12" s="348"/>
      <c r="DQ12" s="348"/>
      <c r="DR12" s="349"/>
      <c r="DS12" s="245"/>
      <c r="DT12" s="246"/>
      <c r="DU12" s="246"/>
      <c r="DV12" s="246"/>
      <c r="DW12" s="246"/>
      <c r="DX12" s="246"/>
      <c r="DY12" s="246"/>
      <c r="DZ12" s="246"/>
      <c r="EA12" s="246"/>
      <c r="EB12" s="246"/>
      <c r="EC12" s="246"/>
      <c r="ED12" s="246"/>
      <c r="EE12" s="247"/>
      <c r="EF12" s="245"/>
      <c r="EG12" s="246"/>
      <c r="EH12" s="246"/>
      <c r="EI12" s="246"/>
      <c r="EJ12" s="246"/>
      <c r="EK12" s="246"/>
      <c r="EL12" s="246"/>
      <c r="EM12" s="246"/>
      <c r="EN12" s="246"/>
      <c r="EO12" s="246"/>
      <c r="EP12" s="246"/>
      <c r="EQ12" s="246"/>
      <c r="ER12" s="247"/>
      <c r="ES12" s="245"/>
      <c r="ET12" s="246"/>
      <c r="EU12" s="246"/>
      <c r="EV12" s="246"/>
      <c r="EW12" s="246"/>
      <c r="EX12" s="246"/>
      <c r="EY12" s="246"/>
      <c r="EZ12" s="246"/>
      <c r="FA12" s="246"/>
      <c r="FB12" s="246"/>
      <c r="FC12" s="246"/>
      <c r="FD12" s="246"/>
      <c r="FE12" s="247"/>
    </row>
    <row r="13" spans="1:161" s="248" customFormat="1" ht="30.75" customHeight="1" x14ac:dyDescent="0.2">
      <c r="A13" s="347" t="s">
        <v>421</v>
      </c>
      <c r="B13" s="348"/>
      <c r="C13" s="348"/>
      <c r="D13" s="348"/>
      <c r="E13" s="348"/>
      <c r="F13" s="348"/>
      <c r="G13" s="348"/>
      <c r="H13" s="349"/>
      <c r="I13" s="409" t="s">
        <v>422</v>
      </c>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1"/>
      <c r="BD13" s="411"/>
      <c r="BE13" s="411"/>
      <c r="BF13" s="411"/>
      <c r="BG13" s="411"/>
      <c r="BH13" s="411"/>
      <c r="BI13" s="411"/>
      <c r="BJ13" s="411"/>
      <c r="BK13" s="411"/>
      <c r="BL13" s="411"/>
      <c r="BM13" s="411"/>
      <c r="BN13" s="411"/>
      <c r="BO13" s="411"/>
      <c r="BP13" s="411"/>
      <c r="BQ13" s="411"/>
      <c r="BR13" s="411"/>
      <c r="BS13" s="411"/>
      <c r="BT13" s="411"/>
      <c r="BU13" s="411"/>
      <c r="BV13" s="411"/>
      <c r="BW13" s="411"/>
      <c r="BX13" s="411"/>
      <c r="BY13" s="411"/>
      <c r="BZ13" s="411"/>
      <c r="CA13" s="411"/>
      <c r="CB13" s="411"/>
      <c r="CC13" s="411"/>
      <c r="CD13" s="411"/>
      <c r="CE13" s="411"/>
      <c r="CF13" s="411"/>
      <c r="CG13" s="411"/>
      <c r="CH13" s="411"/>
      <c r="CI13" s="411"/>
      <c r="CJ13" s="411"/>
      <c r="CK13" s="411"/>
      <c r="CL13" s="411"/>
      <c r="CM13" s="412"/>
      <c r="CN13" s="351" t="s">
        <v>423</v>
      </c>
      <c r="CO13" s="348"/>
      <c r="CP13" s="348"/>
      <c r="CQ13" s="348"/>
      <c r="CR13" s="348"/>
      <c r="CS13" s="348"/>
      <c r="CT13" s="348"/>
      <c r="CU13" s="349"/>
      <c r="CV13" s="347" t="s">
        <v>61</v>
      </c>
      <c r="CW13" s="348"/>
      <c r="CX13" s="348"/>
      <c r="CY13" s="348"/>
      <c r="CZ13" s="348"/>
      <c r="DA13" s="348"/>
      <c r="DB13" s="348"/>
      <c r="DC13" s="348"/>
      <c r="DD13" s="348"/>
      <c r="DE13" s="349"/>
      <c r="DF13" s="347"/>
      <c r="DG13" s="348"/>
      <c r="DH13" s="348"/>
      <c r="DI13" s="348"/>
      <c r="DJ13" s="348"/>
      <c r="DK13" s="348"/>
      <c r="DL13" s="348"/>
      <c r="DM13" s="348"/>
      <c r="DN13" s="348"/>
      <c r="DO13" s="348"/>
      <c r="DP13" s="348"/>
      <c r="DQ13" s="348"/>
      <c r="DR13" s="349"/>
      <c r="DS13" s="245"/>
      <c r="DT13" s="246"/>
      <c r="DU13" s="246"/>
      <c r="DV13" s="246"/>
      <c r="DW13" s="246"/>
      <c r="DX13" s="246"/>
      <c r="DY13" s="246"/>
      <c r="DZ13" s="246"/>
      <c r="EA13" s="246"/>
      <c r="EB13" s="246"/>
      <c r="EC13" s="246"/>
      <c r="ED13" s="246"/>
      <c r="EE13" s="247"/>
      <c r="EF13" s="245"/>
      <c r="EG13" s="246"/>
      <c r="EH13" s="246"/>
      <c r="EI13" s="246"/>
      <c r="EJ13" s="246"/>
      <c r="EK13" s="246"/>
      <c r="EL13" s="246"/>
      <c r="EM13" s="246"/>
      <c r="EN13" s="246"/>
      <c r="EO13" s="246"/>
      <c r="EP13" s="246"/>
      <c r="EQ13" s="246"/>
      <c r="ER13" s="247"/>
      <c r="ES13" s="245"/>
      <c r="ET13" s="246"/>
      <c r="EU13" s="246"/>
      <c r="EV13" s="246"/>
      <c r="EW13" s="246"/>
      <c r="EX13" s="246"/>
      <c r="EY13" s="246"/>
      <c r="EZ13" s="246"/>
      <c r="FA13" s="246"/>
      <c r="FB13" s="246"/>
      <c r="FC13" s="246"/>
      <c r="FD13" s="246"/>
      <c r="FE13" s="247"/>
    </row>
    <row r="14" spans="1:161" ht="30" customHeight="1" x14ac:dyDescent="0.2">
      <c r="A14" s="347" t="s">
        <v>181</v>
      </c>
      <c r="B14" s="348"/>
      <c r="C14" s="348"/>
      <c r="D14" s="348"/>
      <c r="E14" s="348"/>
      <c r="F14" s="348"/>
      <c r="G14" s="348"/>
      <c r="H14" s="349"/>
      <c r="I14" s="409" t="s">
        <v>182</v>
      </c>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c r="BB14" s="410"/>
      <c r="BC14" s="410"/>
      <c r="BD14" s="410"/>
      <c r="BE14" s="410"/>
      <c r="BF14" s="410"/>
      <c r="BG14" s="410"/>
      <c r="BH14" s="410"/>
      <c r="BI14" s="410"/>
      <c r="BJ14" s="410"/>
      <c r="BK14" s="410"/>
      <c r="BL14" s="410"/>
      <c r="BM14" s="410"/>
      <c r="BN14" s="410"/>
      <c r="BO14" s="410"/>
      <c r="BP14" s="410"/>
      <c r="BQ14" s="410"/>
      <c r="BR14" s="410"/>
      <c r="BS14" s="410"/>
      <c r="BT14" s="410"/>
      <c r="BU14" s="410"/>
      <c r="BV14" s="410"/>
      <c r="BW14" s="410"/>
      <c r="BX14" s="410"/>
      <c r="BY14" s="410"/>
      <c r="BZ14" s="410"/>
      <c r="CA14" s="410"/>
      <c r="CB14" s="410"/>
      <c r="CC14" s="410"/>
      <c r="CD14" s="410"/>
      <c r="CE14" s="410"/>
      <c r="CF14" s="410"/>
      <c r="CG14" s="410"/>
      <c r="CH14" s="410"/>
      <c r="CI14" s="410"/>
      <c r="CJ14" s="410"/>
      <c r="CK14" s="410"/>
      <c r="CL14" s="410"/>
      <c r="CM14" s="410"/>
      <c r="CN14" s="351" t="s">
        <v>183</v>
      </c>
      <c r="CO14" s="348"/>
      <c r="CP14" s="348"/>
      <c r="CQ14" s="348"/>
      <c r="CR14" s="348"/>
      <c r="CS14" s="348"/>
      <c r="CT14" s="348"/>
      <c r="CU14" s="349"/>
      <c r="CV14" s="347" t="s">
        <v>61</v>
      </c>
      <c r="CW14" s="348"/>
      <c r="CX14" s="348"/>
      <c r="CY14" s="348"/>
      <c r="CZ14" s="348"/>
      <c r="DA14" s="348"/>
      <c r="DB14" s="348"/>
      <c r="DC14" s="348"/>
      <c r="DD14" s="348"/>
      <c r="DE14" s="349"/>
      <c r="DF14" s="347"/>
      <c r="DG14" s="348"/>
      <c r="DH14" s="348"/>
      <c r="DI14" s="348"/>
      <c r="DJ14" s="348"/>
      <c r="DK14" s="348"/>
      <c r="DL14" s="348"/>
      <c r="DM14" s="348"/>
      <c r="DN14" s="348"/>
      <c r="DO14" s="348"/>
      <c r="DP14" s="348"/>
      <c r="DQ14" s="348"/>
      <c r="DR14" s="349"/>
      <c r="DS14" s="406">
        <f>DS7-DS10</f>
        <v>34567227.090000004</v>
      </c>
      <c r="DT14" s="407"/>
      <c r="DU14" s="407"/>
      <c r="DV14" s="407"/>
      <c r="DW14" s="407"/>
      <c r="DX14" s="407"/>
      <c r="DY14" s="407"/>
      <c r="DZ14" s="407"/>
      <c r="EA14" s="407"/>
      <c r="EB14" s="407"/>
      <c r="EC14" s="407"/>
      <c r="ED14" s="407"/>
      <c r="EE14" s="408"/>
      <c r="EF14" s="406">
        <f>EF7-EF10</f>
        <v>19854382.600000001</v>
      </c>
      <c r="EG14" s="407"/>
      <c r="EH14" s="407"/>
      <c r="EI14" s="407"/>
      <c r="EJ14" s="407"/>
      <c r="EK14" s="407"/>
      <c r="EL14" s="407"/>
      <c r="EM14" s="407"/>
      <c r="EN14" s="407"/>
      <c r="EO14" s="407"/>
      <c r="EP14" s="407"/>
      <c r="EQ14" s="407"/>
      <c r="ER14" s="408"/>
      <c r="ES14" s="406">
        <f>ES7-ES10</f>
        <v>17053559.899999999</v>
      </c>
      <c r="ET14" s="407"/>
      <c r="EU14" s="407"/>
      <c r="EV14" s="407"/>
      <c r="EW14" s="407"/>
      <c r="EX14" s="407"/>
      <c r="EY14" s="407"/>
      <c r="EZ14" s="407"/>
      <c r="FA14" s="407"/>
      <c r="FB14" s="407"/>
      <c r="FC14" s="407"/>
      <c r="FD14" s="407"/>
      <c r="FE14" s="408"/>
    </row>
    <row r="15" spans="1:161" ht="34.5" customHeight="1" x14ac:dyDescent="0.2">
      <c r="A15" s="347" t="s">
        <v>184</v>
      </c>
      <c r="B15" s="348"/>
      <c r="C15" s="348"/>
      <c r="D15" s="348"/>
      <c r="E15" s="348"/>
      <c r="F15" s="348"/>
      <c r="G15" s="348"/>
      <c r="H15" s="349"/>
      <c r="I15" s="399" t="s">
        <v>185</v>
      </c>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351" t="s">
        <v>186</v>
      </c>
      <c r="CO15" s="348"/>
      <c r="CP15" s="348"/>
      <c r="CQ15" s="348"/>
      <c r="CR15" s="348"/>
      <c r="CS15" s="348"/>
      <c r="CT15" s="348"/>
      <c r="CU15" s="349"/>
      <c r="CV15" s="347" t="s">
        <v>61</v>
      </c>
      <c r="CW15" s="348"/>
      <c r="CX15" s="348"/>
      <c r="CY15" s="348"/>
      <c r="CZ15" s="348"/>
      <c r="DA15" s="348"/>
      <c r="DB15" s="348"/>
      <c r="DC15" s="348"/>
      <c r="DD15" s="348"/>
      <c r="DE15" s="349"/>
      <c r="DF15" s="347"/>
      <c r="DG15" s="348"/>
      <c r="DH15" s="348"/>
      <c r="DI15" s="348"/>
      <c r="DJ15" s="348"/>
      <c r="DK15" s="348"/>
      <c r="DL15" s="348"/>
      <c r="DM15" s="348"/>
      <c r="DN15" s="348"/>
      <c r="DO15" s="348"/>
      <c r="DP15" s="348"/>
      <c r="DQ15" s="348"/>
      <c r="DR15" s="349"/>
      <c r="DS15" s="352">
        <v>1051357.3500000001</v>
      </c>
      <c r="DT15" s="353"/>
      <c r="DU15" s="353"/>
      <c r="DV15" s="353"/>
      <c r="DW15" s="353"/>
      <c r="DX15" s="353"/>
      <c r="DY15" s="353"/>
      <c r="DZ15" s="353"/>
      <c r="EA15" s="353"/>
      <c r="EB15" s="353"/>
      <c r="EC15" s="353"/>
      <c r="ED15" s="353"/>
      <c r="EE15" s="354"/>
      <c r="EF15" s="352">
        <v>660117.19999999995</v>
      </c>
      <c r="EG15" s="353"/>
      <c r="EH15" s="353"/>
      <c r="EI15" s="353"/>
      <c r="EJ15" s="353"/>
      <c r="EK15" s="353"/>
      <c r="EL15" s="353"/>
      <c r="EM15" s="353"/>
      <c r="EN15" s="353"/>
      <c r="EO15" s="353"/>
      <c r="EP15" s="353"/>
      <c r="EQ15" s="353"/>
      <c r="ER15" s="354"/>
      <c r="ES15" s="352">
        <v>558055.5</v>
      </c>
      <c r="ET15" s="353"/>
      <c r="EU15" s="353"/>
      <c r="EV15" s="353"/>
      <c r="EW15" s="353"/>
      <c r="EX15" s="353"/>
      <c r="EY15" s="353"/>
      <c r="EZ15" s="353"/>
      <c r="FA15" s="353"/>
      <c r="FB15" s="353"/>
      <c r="FC15" s="353"/>
      <c r="FD15" s="353"/>
      <c r="FE15" s="354"/>
    </row>
    <row r="16" spans="1:161" ht="24" customHeight="1" x14ac:dyDescent="0.2">
      <c r="A16" s="347" t="s">
        <v>187</v>
      </c>
      <c r="B16" s="348"/>
      <c r="C16" s="348"/>
      <c r="D16" s="348"/>
      <c r="E16" s="348"/>
      <c r="F16" s="348"/>
      <c r="G16" s="348"/>
      <c r="H16" s="349"/>
      <c r="I16" s="380" t="s">
        <v>188</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51" t="s">
        <v>189</v>
      </c>
      <c r="CO16" s="348"/>
      <c r="CP16" s="348"/>
      <c r="CQ16" s="348"/>
      <c r="CR16" s="348"/>
      <c r="CS16" s="348"/>
      <c r="CT16" s="348"/>
      <c r="CU16" s="349"/>
      <c r="CV16" s="347" t="s">
        <v>61</v>
      </c>
      <c r="CW16" s="348"/>
      <c r="CX16" s="348"/>
      <c r="CY16" s="348"/>
      <c r="CZ16" s="348"/>
      <c r="DA16" s="348"/>
      <c r="DB16" s="348"/>
      <c r="DC16" s="348"/>
      <c r="DD16" s="348"/>
      <c r="DE16" s="349"/>
      <c r="DF16" s="347"/>
      <c r="DG16" s="348"/>
      <c r="DH16" s="348"/>
      <c r="DI16" s="348"/>
      <c r="DJ16" s="348"/>
      <c r="DK16" s="348"/>
      <c r="DL16" s="348"/>
      <c r="DM16" s="348"/>
      <c r="DN16" s="348"/>
      <c r="DO16" s="348"/>
      <c r="DP16" s="348"/>
      <c r="DQ16" s="348"/>
      <c r="DR16" s="349"/>
      <c r="DS16" s="352">
        <v>1051357.3500000001</v>
      </c>
      <c r="DT16" s="353"/>
      <c r="DU16" s="353"/>
      <c r="DV16" s="353"/>
      <c r="DW16" s="353"/>
      <c r="DX16" s="353"/>
      <c r="DY16" s="353"/>
      <c r="DZ16" s="353"/>
      <c r="EA16" s="353"/>
      <c r="EB16" s="353"/>
      <c r="EC16" s="353"/>
      <c r="ED16" s="353"/>
      <c r="EE16" s="354"/>
      <c r="EF16" s="352">
        <v>660117.19999999995</v>
      </c>
      <c r="EG16" s="353"/>
      <c r="EH16" s="353"/>
      <c r="EI16" s="353"/>
      <c r="EJ16" s="353"/>
      <c r="EK16" s="353"/>
      <c r="EL16" s="353"/>
      <c r="EM16" s="353"/>
      <c r="EN16" s="353"/>
      <c r="EO16" s="353"/>
      <c r="EP16" s="353"/>
      <c r="EQ16" s="353"/>
      <c r="ER16" s="354"/>
      <c r="ES16" s="352">
        <v>558055.5</v>
      </c>
      <c r="ET16" s="353"/>
      <c r="EU16" s="353"/>
      <c r="EV16" s="353"/>
      <c r="EW16" s="353"/>
      <c r="EX16" s="353"/>
      <c r="EY16" s="353"/>
      <c r="EZ16" s="353"/>
      <c r="FA16" s="353"/>
      <c r="FB16" s="353"/>
      <c r="FC16" s="353"/>
      <c r="FD16" s="353"/>
      <c r="FE16" s="354"/>
    </row>
    <row r="17" spans="1:161" ht="12.75" customHeight="1" x14ac:dyDescent="0.2">
      <c r="A17" s="347" t="s">
        <v>190</v>
      </c>
      <c r="B17" s="348"/>
      <c r="C17" s="348"/>
      <c r="D17" s="348"/>
      <c r="E17" s="348"/>
      <c r="F17" s="348"/>
      <c r="G17" s="348"/>
      <c r="H17" s="349"/>
      <c r="I17" s="380" t="s">
        <v>191</v>
      </c>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51" t="s">
        <v>192</v>
      </c>
      <c r="CO17" s="348"/>
      <c r="CP17" s="348"/>
      <c r="CQ17" s="348"/>
      <c r="CR17" s="348"/>
      <c r="CS17" s="348"/>
      <c r="CT17" s="348"/>
      <c r="CU17" s="349"/>
      <c r="CV17" s="347" t="s">
        <v>61</v>
      </c>
      <c r="CW17" s="348"/>
      <c r="CX17" s="348"/>
      <c r="CY17" s="348"/>
      <c r="CZ17" s="348"/>
      <c r="DA17" s="348"/>
      <c r="DB17" s="348"/>
      <c r="DC17" s="348"/>
      <c r="DD17" s="348"/>
      <c r="DE17" s="349"/>
      <c r="DF17" s="347"/>
      <c r="DG17" s="348"/>
      <c r="DH17" s="348"/>
      <c r="DI17" s="348"/>
      <c r="DJ17" s="348"/>
      <c r="DK17" s="348"/>
      <c r="DL17" s="348"/>
      <c r="DM17" s="348"/>
      <c r="DN17" s="348"/>
      <c r="DO17" s="348"/>
      <c r="DP17" s="348"/>
      <c r="DQ17" s="348"/>
      <c r="DR17" s="349"/>
      <c r="DS17" s="352">
        <v>0</v>
      </c>
      <c r="DT17" s="353"/>
      <c r="DU17" s="353"/>
      <c r="DV17" s="353"/>
      <c r="DW17" s="353"/>
      <c r="DX17" s="353"/>
      <c r="DY17" s="353"/>
      <c r="DZ17" s="353"/>
      <c r="EA17" s="353"/>
      <c r="EB17" s="353"/>
      <c r="EC17" s="353"/>
      <c r="ED17" s="353"/>
      <c r="EE17" s="354"/>
      <c r="EF17" s="352">
        <v>0</v>
      </c>
      <c r="EG17" s="353"/>
      <c r="EH17" s="353"/>
      <c r="EI17" s="353"/>
      <c r="EJ17" s="353"/>
      <c r="EK17" s="353"/>
      <c r="EL17" s="353"/>
      <c r="EM17" s="353"/>
      <c r="EN17" s="353"/>
      <c r="EO17" s="353"/>
      <c r="EP17" s="353"/>
      <c r="EQ17" s="353"/>
      <c r="ER17" s="354"/>
      <c r="ES17" s="352">
        <v>0</v>
      </c>
      <c r="ET17" s="353"/>
      <c r="EU17" s="353"/>
      <c r="EV17" s="353"/>
      <c r="EW17" s="353"/>
      <c r="EX17" s="353"/>
      <c r="EY17" s="353"/>
      <c r="EZ17" s="353"/>
      <c r="FA17" s="353"/>
      <c r="FB17" s="353"/>
      <c r="FC17" s="353"/>
      <c r="FD17" s="353"/>
      <c r="FE17" s="354"/>
    </row>
    <row r="18" spans="1:161" ht="24" customHeight="1" x14ac:dyDescent="0.2">
      <c r="A18" s="347" t="s">
        <v>193</v>
      </c>
      <c r="B18" s="348"/>
      <c r="C18" s="348"/>
      <c r="D18" s="348"/>
      <c r="E18" s="348"/>
      <c r="F18" s="348"/>
      <c r="G18" s="348"/>
      <c r="H18" s="349"/>
      <c r="I18" s="399" t="s">
        <v>194</v>
      </c>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351" t="s">
        <v>195</v>
      </c>
      <c r="CO18" s="348"/>
      <c r="CP18" s="348"/>
      <c r="CQ18" s="348"/>
      <c r="CR18" s="348"/>
      <c r="CS18" s="348"/>
      <c r="CT18" s="348"/>
      <c r="CU18" s="349"/>
      <c r="CV18" s="347" t="s">
        <v>61</v>
      </c>
      <c r="CW18" s="348"/>
      <c r="CX18" s="348"/>
      <c r="CY18" s="348"/>
      <c r="CZ18" s="348"/>
      <c r="DA18" s="348"/>
      <c r="DB18" s="348"/>
      <c r="DC18" s="348"/>
      <c r="DD18" s="348"/>
      <c r="DE18" s="349"/>
      <c r="DF18" s="347"/>
      <c r="DG18" s="348"/>
      <c r="DH18" s="348"/>
      <c r="DI18" s="348"/>
      <c r="DJ18" s="348"/>
      <c r="DK18" s="348"/>
      <c r="DL18" s="348"/>
      <c r="DM18" s="348"/>
      <c r="DN18" s="348"/>
      <c r="DO18" s="348"/>
      <c r="DP18" s="348"/>
      <c r="DQ18" s="348"/>
      <c r="DR18" s="349"/>
      <c r="DS18" s="352">
        <v>12855800</v>
      </c>
      <c r="DT18" s="353"/>
      <c r="DU18" s="353"/>
      <c r="DV18" s="353"/>
      <c r="DW18" s="353"/>
      <c r="DX18" s="353"/>
      <c r="DY18" s="353"/>
      <c r="DZ18" s="353"/>
      <c r="EA18" s="353"/>
      <c r="EB18" s="353"/>
      <c r="EC18" s="353"/>
      <c r="ED18" s="353"/>
      <c r="EE18" s="354"/>
      <c r="EF18" s="352">
        <v>14800000</v>
      </c>
      <c r="EG18" s="353"/>
      <c r="EH18" s="353"/>
      <c r="EI18" s="353"/>
      <c r="EJ18" s="353"/>
      <c r="EK18" s="353"/>
      <c r="EL18" s="353"/>
      <c r="EM18" s="353"/>
      <c r="EN18" s="353"/>
      <c r="EO18" s="353"/>
      <c r="EP18" s="353"/>
      <c r="EQ18" s="353"/>
      <c r="ER18" s="354"/>
      <c r="ES18" s="352">
        <v>0</v>
      </c>
      <c r="ET18" s="353"/>
      <c r="EU18" s="353"/>
      <c r="EV18" s="353"/>
      <c r="EW18" s="353"/>
      <c r="EX18" s="353"/>
      <c r="EY18" s="353"/>
      <c r="EZ18" s="353"/>
      <c r="FA18" s="353"/>
      <c r="FB18" s="353"/>
      <c r="FC18" s="353"/>
      <c r="FD18" s="353"/>
      <c r="FE18" s="354"/>
    </row>
    <row r="19" spans="1:161" ht="24" customHeight="1" x14ac:dyDescent="0.2">
      <c r="A19" s="347" t="s">
        <v>196</v>
      </c>
      <c r="B19" s="348"/>
      <c r="C19" s="348"/>
      <c r="D19" s="348"/>
      <c r="E19" s="348"/>
      <c r="F19" s="348"/>
      <c r="G19" s="348"/>
      <c r="H19" s="349"/>
      <c r="I19" s="380" t="s">
        <v>188</v>
      </c>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51" t="s">
        <v>197</v>
      </c>
      <c r="CO19" s="348"/>
      <c r="CP19" s="348"/>
      <c r="CQ19" s="348"/>
      <c r="CR19" s="348"/>
      <c r="CS19" s="348"/>
      <c r="CT19" s="348"/>
      <c r="CU19" s="349"/>
      <c r="CV19" s="347" t="s">
        <v>61</v>
      </c>
      <c r="CW19" s="348"/>
      <c r="CX19" s="348"/>
      <c r="CY19" s="348"/>
      <c r="CZ19" s="348"/>
      <c r="DA19" s="348"/>
      <c r="DB19" s="348"/>
      <c r="DC19" s="348"/>
      <c r="DD19" s="348"/>
      <c r="DE19" s="349"/>
      <c r="DF19" s="347"/>
      <c r="DG19" s="348"/>
      <c r="DH19" s="348"/>
      <c r="DI19" s="348"/>
      <c r="DJ19" s="348"/>
      <c r="DK19" s="348"/>
      <c r="DL19" s="348"/>
      <c r="DM19" s="348"/>
      <c r="DN19" s="348"/>
      <c r="DO19" s="348"/>
      <c r="DP19" s="348"/>
      <c r="DQ19" s="348"/>
      <c r="DR19" s="349"/>
      <c r="DS19" s="352">
        <v>12855800</v>
      </c>
      <c r="DT19" s="353"/>
      <c r="DU19" s="353"/>
      <c r="DV19" s="353"/>
      <c r="DW19" s="353"/>
      <c r="DX19" s="353"/>
      <c r="DY19" s="353"/>
      <c r="DZ19" s="353"/>
      <c r="EA19" s="353"/>
      <c r="EB19" s="353"/>
      <c r="EC19" s="353"/>
      <c r="ED19" s="353"/>
      <c r="EE19" s="354"/>
      <c r="EF19" s="352">
        <v>14800000</v>
      </c>
      <c r="EG19" s="353"/>
      <c r="EH19" s="353"/>
      <c r="EI19" s="353"/>
      <c r="EJ19" s="353"/>
      <c r="EK19" s="353"/>
      <c r="EL19" s="353"/>
      <c r="EM19" s="353"/>
      <c r="EN19" s="353"/>
      <c r="EO19" s="353"/>
      <c r="EP19" s="353"/>
      <c r="EQ19" s="353"/>
      <c r="ER19" s="354"/>
      <c r="ES19" s="352">
        <v>0</v>
      </c>
      <c r="ET19" s="353"/>
      <c r="EU19" s="353"/>
      <c r="EV19" s="353"/>
      <c r="EW19" s="353"/>
      <c r="EX19" s="353"/>
      <c r="EY19" s="353"/>
      <c r="EZ19" s="353"/>
      <c r="FA19" s="353"/>
      <c r="FB19" s="353"/>
      <c r="FC19" s="353"/>
      <c r="FD19" s="353"/>
      <c r="FE19" s="354"/>
    </row>
    <row r="20" spans="1:161" s="248" customFormat="1" ht="24" customHeight="1" x14ac:dyDescent="0.2">
      <c r="A20" s="347" t="s">
        <v>440</v>
      </c>
      <c r="B20" s="348"/>
      <c r="C20" s="348"/>
      <c r="D20" s="348"/>
      <c r="E20" s="348"/>
      <c r="F20" s="348"/>
      <c r="G20" s="348"/>
      <c r="H20" s="349"/>
      <c r="I20" s="380"/>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c r="BY20" s="401"/>
      <c r="BZ20" s="401"/>
      <c r="CA20" s="401"/>
      <c r="CB20" s="401"/>
      <c r="CC20" s="401"/>
      <c r="CD20" s="401"/>
      <c r="CE20" s="401"/>
      <c r="CF20" s="401"/>
      <c r="CG20" s="401"/>
      <c r="CH20" s="401"/>
      <c r="CI20" s="401"/>
      <c r="CJ20" s="401"/>
      <c r="CK20" s="401"/>
      <c r="CL20" s="401"/>
      <c r="CM20" s="402"/>
      <c r="CN20" s="351" t="s">
        <v>426</v>
      </c>
      <c r="CO20" s="348"/>
      <c r="CP20" s="348"/>
      <c r="CQ20" s="348"/>
      <c r="CR20" s="348"/>
      <c r="CS20" s="348"/>
      <c r="CT20" s="348"/>
      <c r="CU20" s="349"/>
      <c r="CV20" s="347" t="s">
        <v>441</v>
      </c>
      <c r="CW20" s="348"/>
      <c r="CX20" s="348"/>
      <c r="CY20" s="348"/>
      <c r="CZ20" s="348"/>
      <c r="DA20" s="348"/>
      <c r="DB20" s="348"/>
      <c r="DC20" s="348"/>
      <c r="DD20" s="348"/>
      <c r="DE20" s="349"/>
      <c r="DF20" s="347"/>
      <c r="DG20" s="348"/>
      <c r="DH20" s="348"/>
      <c r="DI20" s="348"/>
      <c r="DJ20" s="348"/>
      <c r="DK20" s="348"/>
      <c r="DL20" s="348"/>
      <c r="DM20" s="348"/>
      <c r="DN20" s="348"/>
      <c r="DO20" s="348"/>
      <c r="DP20" s="348"/>
      <c r="DQ20" s="348"/>
      <c r="DR20" s="349"/>
      <c r="DS20" s="352">
        <f>10130000</f>
        <v>10130000</v>
      </c>
      <c r="DT20" s="353"/>
      <c r="DU20" s="353"/>
      <c r="DV20" s="353"/>
      <c r="DW20" s="353"/>
      <c r="DX20" s="353"/>
      <c r="DY20" s="353"/>
      <c r="DZ20" s="353"/>
      <c r="EA20" s="353"/>
      <c r="EB20" s="353"/>
      <c r="EC20" s="353"/>
      <c r="ED20" s="353"/>
      <c r="EE20" s="354"/>
      <c r="EF20" s="352"/>
      <c r="EG20" s="353"/>
      <c r="EH20" s="353"/>
      <c r="EI20" s="353"/>
      <c r="EJ20" s="353"/>
      <c r="EK20" s="353"/>
      <c r="EL20" s="353"/>
      <c r="EM20" s="353"/>
      <c r="EN20" s="353"/>
      <c r="EO20" s="353"/>
      <c r="EP20" s="353"/>
      <c r="EQ20" s="353"/>
      <c r="ER20" s="354"/>
      <c r="ES20" s="352"/>
      <c r="ET20" s="353"/>
      <c r="EU20" s="353"/>
      <c r="EV20" s="353"/>
      <c r="EW20" s="353"/>
      <c r="EX20" s="353"/>
      <c r="EY20" s="353"/>
      <c r="EZ20" s="353"/>
      <c r="FA20" s="353"/>
      <c r="FB20" s="353"/>
      <c r="FC20" s="353"/>
      <c r="FD20" s="353"/>
      <c r="FE20" s="354"/>
    </row>
    <row r="21" spans="1:161" s="255" customFormat="1" ht="24" customHeight="1" x14ac:dyDescent="0.2">
      <c r="A21" s="347" t="s">
        <v>444</v>
      </c>
      <c r="B21" s="348"/>
      <c r="C21" s="348"/>
      <c r="D21" s="348"/>
      <c r="E21" s="348"/>
      <c r="F21" s="348"/>
      <c r="G21" s="348"/>
      <c r="H21" s="349"/>
      <c r="I21" s="403"/>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5"/>
      <c r="CN21" s="351" t="s">
        <v>442</v>
      </c>
      <c r="CO21" s="348"/>
      <c r="CP21" s="348"/>
      <c r="CQ21" s="348"/>
      <c r="CR21" s="348"/>
      <c r="CS21" s="348"/>
      <c r="CT21" s="348"/>
      <c r="CU21" s="349"/>
      <c r="CV21" s="347" t="s">
        <v>443</v>
      </c>
      <c r="CW21" s="348"/>
      <c r="CX21" s="348"/>
      <c r="CY21" s="348"/>
      <c r="CZ21" s="348"/>
      <c r="DA21" s="348"/>
      <c r="DB21" s="348"/>
      <c r="DC21" s="348"/>
      <c r="DD21" s="348"/>
      <c r="DE21" s="349"/>
      <c r="DF21" s="347"/>
      <c r="DG21" s="348"/>
      <c r="DH21" s="348"/>
      <c r="DI21" s="348"/>
      <c r="DJ21" s="348"/>
      <c r="DK21" s="348"/>
      <c r="DL21" s="348"/>
      <c r="DM21" s="348"/>
      <c r="DN21" s="348"/>
      <c r="DO21" s="348"/>
      <c r="DP21" s="348"/>
      <c r="DQ21" s="348"/>
      <c r="DR21" s="349"/>
      <c r="DS21" s="352">
        <f>1600000</f>
        <v>1600000</v>
      </c>
      <c r="DT21" s="353"/>
      <c r="DU21" s="353"/>
      <c r="DV21" s="353"/>
      <c r="DW21" s="353"/>
      <c r="DX21" s="353"/>
      <c r="DY21" s="353"/>
      <c r="DZ21" s="353"/>
      <c r="EA21" s="353"/>
      <c r="EB21" s="353"/>
      <c r="EC21" s="353"/>
      <c r="ED21" s="353"/>
      <c r="EE21" s="354"/>
      <c r="EF21" s="352"/>
      <c r="EG21" s="353"/>
      <c r="EH21" s="353"/>
      <c r="EI21" s="353"/>
      <c r="EJ21" s="353"/>
      <c r="EK21" s="353"/>
      <c r="EL21" s="353"/>
      <c r="EM21" s="353"/>
      <c r="EN21" s="353"/>
      <c r="EO21" s="353"/>
      <c r="EP21" s="353"/>
      <c r="EQ21" s="353"/>
      <c r="ER21" s="354"/>
      <c r="ES21" s="352"/>
      <c r="ET21" s="353"/>
      <c r="EU21" s="353"/>
      <c r="EV21" s="353"/>
      <c r="EW21" s="353"/>
      <c r="EX21" s="353"/>
      <c r="EY21" s="353"/>
      <c r="EZ21" s="353"/>
      <c r="FA21" s="353"/>
      <c r="FB21" s="353"/>
      <c r="FC21" s="353"/>
      <c r="FD21" s="353"/>
      <c r="FE21" s="354"/>
    </row>
    <row r="22" spans="1:161" s="255" customFormat="1" ht="24" customHeight="1" x14ac:dyDescent="0.2">
      <c r="A22" s="347" t="s">
        <v>447</v>
      </c>
      <c r="B22" s="348"/>
      <c r="C22" s="348"/>
      <c r="D22" s="348"/>
      <c r="E22" s="348"/>
      <c r="F22" s="348"/>
      <c r="G22" s="348"/>
      <c r="H22" s="349"/>
      <c r="I22" s="403"/>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5"/>
      <c r="CN22" s="351" t="s">
        <v>445</v>
      </c>
      <c r="CO22" s="348"/>
      <c r="CP22" s="348"/>
      <c r="CQ22" s="348"/>
      <c r="CR22" s="348"/>
      <c r="CS22" s="348"/>
      <c r="CT22" s="348"/>
      <c r="CU22" s="349"/>
      <c r="CV22" s="347" t="s">
        <v>446</v>
      </c>
      <c r="CW22" s="348"/>
      <c r="CX22" s="348"/>
      <c r="CY22" s="348"/>
      <c r="CZ22" s="348"/>
      <c r="DA22" s="348"/>
      <c r="DB22" s="348"/>
      <c r="DC22" s="348"/>
      <c r="DD22" s="348"/>
      <c r="DE22" s="349"/>
      <c r="DF22" s="347"/>
      <c r="DG22" s="348"/>
      <c r="DH22" s="348"/>
      <c r="DI22" s="348"/>
      <c r="DJ22" s="348"/>
      <c r="DK22" s="348"/>
      <c r="DL22" s="348"/>
      <c r="DM22" s="348"/>
      <c r="DN22" s="348"/>
      <c r="DO22" s="348"/>
      <c r="DP22" s="348"/>
      <c r="DQ22" s="348"/>
      <c r="DR22" s="349"/>
      <c r="DS22" s="352">
        <f>250000</f>
        <v>250000</v>
      </c>
      <c r="DT22" s="353"/>
      <c r="DU22" s="353"/>
      <c r="DV22" s="353"/>
      <c r="DW22" s="353"/>
      <c r="DX22" s="353"/>
      <c r="DY22" s="353"/>
      <c r="DZ22" s="353"/>
      <c r="EA22" s="353"/>
      <c r="EB22" s="353"/>
      <c r="EC22" s="353"/>
      <c r="ED22" s="353"/>
      <c r="EE22" s="354"/>
      <c r="EF22" s="352"/>
      <c r="EG22" s="353"/>
      <c r="EH22" s="353"/>
      <c r="EI22" s="353"/>
      <c r="EJ22" s="353"/>
      <c r="EK22" s="353"/>
      <c r="EL22" s="353"/>
      <c r="EM22" s="353"/>
      <c r="EN22" s="353"/>
      <c r="EO22" s="353"/>
      <c r="EP22" s="353"/>
      <c r="EQ22" s="353"/>
      <c r="ER22" s="354"/>
      <c r="ES22" s="352"/>
      <c r="ET22" s="353"/>
      <c r="EU22" s="353"/>
      <c r="EV22" s="353"/>
      <c r="EW22" s="353"/>
      <c r="EX22" s="353"/>
      <c r="EY22" s="353"/>
      <c r="EZ22" s="353"/>
      <c r="FA22" s="353"/>
      <c r="FB22" s="353"/>
      <c r="FC22" s="353"/>
      <c r="FD22" s="353"/>
      <c r="FE22" s="354"/>
    </row>
    <row r="23" spans="1:161" s="255" customFormat="1" ht="24" customHeight="1" x14ac:dyDescent="0.2">
      <c r="A23" s="347" t="s">
        <v>450</v>
      </c>
      <c r="B23" s="348"/>
      <c r="C23" s="348"/>
      <c r="D23" s="348"/>
      <c r="E23" s="348"/>
      <c r="F23" s="348"/>
      <c r="G23" s="348"/>
      <c r="H23" s="349"/>
      <c r="I23" s="403"/>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5"/>
      <c r="CN23" s="351" t="s">
        <v>448</v>
      </c>
      <c r="CO23" s="348"/>
      <c r="CP23" s="348"/>
      <c r="CQ23" s="348"/>
      <c r="CR23" s="348"/>
      <c r="CS23" s="348"/>
      <c r="CT23" s="348"/>
      <c r="CU23" s="349"/>
      <c r="CV23" s="347" t="s">
        <v>449</v>
      </c>
      <c r="CW23" s="348"/>
      <c r="CX23" s="348"/>
      <c r="CY23" s="348"/>
      <c r="CZ23" s="348"/>
      <c r="DA23" s="348"/>
      <c r="DB23" s="348"/>
      <c r="DC23" s="348"/>
      <c r="DD23" s="348"/>
      <c r="DE23" s="349"/>
      <c r="DF23" s="347"/>
      <c r="DG23" s="348"/>
      <c r="DH23" s="348"/>
      <c r="DI23" s="348"/>
      <c r="DJ23" s="348"/>
      <c r="DK23" s="348"/>
      <c r="DL23" s="348"/>
      <c r="DM23" s="348"/>
      <c r="DN23" s="348"/>
      <c r="DO23" s="348"/>
      <c r="DP23" s="348"/>
      <c r="DQ23" s="348"/>
      <c r="DR23" s="349"/>
      <c r="DS23" s="352">
        <f>100000+775800</f>
        <v>875800</v>
      </c>
      <c r="DT23" s="353"/>
      <c r="DU23" s="353"/>
      <c r="DV23" s="353"/>
      <c r="DW23" s="353"/>
      <c r="DX23" s="353"/>
      <c r="DY23" s="353"/>
      <c r="DZ23" s="353"/>
      <c r="EA23" s="353"/>
      <c r="EB23" s="353"/>
      <c r="EC23" s="353"/>
      <c r="ED23" s="353"/>
      <c r="EE23" s="354"/>
      <c r="EF23" s="352"/>
      <c r="EG23" s="353"/>
      <c r="EH23" s="353"/>
      <c r="EI23" s="353"/>
      <c r="EJ23" s="353"/>
      <c r="EK23" s="353"/>
      <c r="EL23" s="353"/>
      <c r="EM23" s="353"/>
      <c r="EN23" s="353"/>
      <c r="EO23" s="353"/>
      <c r="EP23" s="353"/>
      <c r="EQ23" s="353"/>
      <c r="ER23" s="354"/>
      <c r="ES23" s="352"/>
      <c r="ET23" s="353"/>
      <c r="EU23" s="353"/>
      <c r="EV23" s="353"/>
      <c r="EW23" s="353"/>
      <c r="EX23" s="353"/>
      <c r="EY23" s="353"/>
      <c r="EZ23" s="353"/>
      <c r="FA23" s="353"/>
      <c r="FB23" s="353"/>
      <c r="FC23" s="353"/>
      <c r="FD23" s="353"/>
      <c r="FE23" s="354"/>
    </row>
    <row r="24" spans="1:161" ht="12.75" customHeight="1" x14ac:dyDescent="0.2">
      <c r="A24" s="347" t="s">
        <v>198</v>
      </c>
      <c r="B24" s="348"/>
      <c r="C24" s="348"/>
      <c r="D24" s="348"/>
      <c r="E24" s="348"/>
      <c r="F24" s="348"/>
      <c r="G24" s="348"/>
      <c r="H24" s="349"/>
      <c r="I24" s="380" t="s">
        <v>191</v>
      </c>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51" t="s">
        <v>199</v>
      </c>
      <c r="CO24" s="348"/>
      <c r="CP24" s="348"/>
      <c r="CQ24" s="348"/>
      <c r="CR24" s="348"/>
      <c r="CS24" s="348"/>
      <c r="CT24" s="348"/>
      <c r="CU24" s="349"/>
      <c r="CV24" s="347" t="s">
        <v>61</v>
      </c>
      <c r="CW24" s="348"/>
      <c r="CX24" s="348"/>
      <c r="CY24" s="348"/>
      <c r="CZ24" s="348"/>
      <c r="DA24" s="348"/>
      <c r="DB24" s="348"/>
      <c r="DC24" s="348"/>
      <c r="DD24" s="348"/>
      <c r="DE24" s="349"/>
      <c r="DF24" s="347"/>
      <c r="DG24" s="348"/>
      <c r="DH24" s="348"/>
      <c r="DI24" s="348"/>
      <c r="DJ24" s="348"/>
      <c r="DK24" s="348"/>
      <c r="DL24" s="348"/>
      <c r="DM24" s="348"/>
      <c r="DN24" s="348"/>
      <c r="DO24" s="348"/>
      <c r="DP24" s="348"/>
      <c r="DQ24" s="348"/>
      <c r="DR24" s="349"/>
      <c r="DS24" s="352">
        <v>0</v>
      </c>
      <c r="DT24" s="353"/>
      <c r="DU24" s="353"/>
      <c r="DV24" s="353"/>
      <c r="DW24" s="353"/>
      <c r="DX24" s="353"/>
      <c r="DY24" s="353"/>
      <c r="DZ24" s="353"/>
      <c r="EA24" s="353"/>
      <c r="EB24" s="353"/>
      <c r="EC24" s="353"/>
      <c r="ED24" s="353"/>
      <c r="EE24" s="354"/>
      <c r="EF24" s="352">
        <v>0</v>
      </c>
      <c r="EG24" s="353"/>
      <c r="EH24" s="353"/>
      <c r="EI24" s="353"/>
      <c r="EJ24" s="353"/>
      <c r="EK24" s="353"/>
      <c r="EL24" s="353"/>
      <c r="EM24" s="353"/>
      <c r="EN24" s="353"/>
      <c r="EO24" s="353"/>
      <c r="EP24" s="353"/>
      <c r="EQ24" s="353"/>
      <c r="ER24" s="354"/>
      <c r="ES24" s="352">
        <v>0</v>
      </c>
      <c r="ET24" s="353"/>
      <c r="EU24" s="353"/>
      <c r="EV24" s="353"/>
      <c r="EW24" s="353"/>
      <c r="EX24" s="353"/>
      <c r="EY24" s="353"/>
      <c r="EZ24" s="353"/>
      <c r="FA24" s="353"/>
      <c r="FB24" s="353"/>
      <c r="FC24" s="353"/>
      <c r="FD24" s="353"/>
      <c r="FE24" s="354"/>
    </row>
    <row r="25" spans="1:161" ht="12.75" customHeight="1" x14ac:dyDescent="0.2">
      <c r="A25" s="347" t="s">
        <v>200</v>
      </c>
      <c r="B25" s="348"/>
      <c r="C25" s="348"/>
      <c r="D25" s="348"/>
      <c r="E25" s="348"/>
      <c r="F25" s="348"/>
      <c r="G25" s="348"/>
      <c r="H25" s="349"/>
      <c r="I25" s="399" t="s">
        <v>201</v>
      </c>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351" t="s">
        <v>202</v>
      </c>
      <c r="CO25" s="348"/>
      <c r="CP25" s="348"/>
      <c r="CQ25" s="348"/>
      <c r="CR25" s="348"/>
      <c r="CS25" s="348"/>
      <c r="CT25" s="348"/>
      <c r="CU25" s="349"/>
      <c r="CV25" s="347" t="s">
        <v>61</v>
      </c>
      <c r="CW25" s="348"/>
      <c r="CX25" s="348"/>
      <c r="CY25" s="348"/>
      <c r="CZ25" s="348"/>
      <c r="DA25" s="348"/>
      <c r="DB25" s="348"/>
      <c r="DC25" s="348"/>
      <c r="DD25" s="348"/>
      <c r="DE25" s="349"/>
      <c r="DF25" s="347"/>
      <c r="DG25" s="348"/>
      <c r="DH25" s="348"/>
      <c r="DI25" s="348"/>
      <c r="DJ25" s="348"/>
      <c r="DK25" s="348"/>
      <c r="DL25" s="348"/>
      <c r="DM25" s="348"/>
      <c r="DN25" s="348"/>
      <c r="DO25" s="348"/>
      <c r="DP25" s="348"/>
      <c r="DQ25" s="348"/>
      <c r="DR25" s="349"/>
      <c r="DS25" s="352"/>
      <c r="DT25" s="353"/>
      <c r="DU25" s="353"/>
      <c r="DV25" s="353"/>
      <c r="DW25" s="353"/>
      <c r="DX25" s="353"/>
      <c r="DY25" s="353"/>
      <c r="DZ25" s="353"/>
      <c r="EA25" s="353"/>
      <c r="EB25" s="353"/>
      <c r="EC25" s="353"/>
      <c r="ED25" s="353"/>
      <c r="EE25" s="354"/>
      <c r="EF25" s="352"/>
      <c r="EG25" s="353"/>
      <c r="EH25" s="353"/>
      <c r="EI25" s="353"/>
      <c r="EJ25" s="353"/>
      <c r="EK25" s="353"/>
      <c r="EL25" s="353"/>
      <c r="EM25" s="353"/>
      <c r="EN25" s="353"/>
      <c r="EO25" s="353"/>
      <c r="EP25" s="353"/>
      <c r="EQ25" s="353"/>
      <c r="ER25" s="354"/>
      <c r="ES25" s="352"/>
      <c r="ET25" s="353"/>
      <c r="EU25" s="353"/>
      <c r="EV25" s="353"/>
      <c r="EW25" s="353"/>
      <c r="EX25" s="353"/>
      <c r="EY25" s="353"/>
      <c r="EZ25" s="353"/>
      <c r="FA25" s="353"/>
      <c r="FB25" s="353"/>
      <c r="FC25" s="353"/>
      <c r="FD25" s="353"/>
      <c r="FE25" s="354"/>
    </row>
    <row r="26" spans="1:161" s="248" customFormat="1" ht="12.75" customHeight="1" x14ac:dyDescent="0.2">
      <c r="A26" s="347"/>
      <c r="B26" s="348"/>
      <c r="C26" s="348"/>
      <c r="D26" s="348"/>
      <c r="E26" s="348"/>
      <c r="F26" s="348"/>
      <c r="G26" s="348"/>
      <c r="H26" s="349"/>
      <c r="I26" s="399" t="s">
        <v>424</v>
      </c>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6"/>
      <c r="CN26" s="351" t="s">
        <v>427</v>
      </c>
      <c r="CO26" s="348"/>
      <c r="CP26" s="348"/>
      <c r="CQ26" s="348"/>
      <c r="CR26" s="348"/>
      <c r="CS26" s="348"/>
      <c r="CT26" s="348"/>
      <c r="CU26" s="349"/>
      <c r="CV26" s="347" t="s">
        <v>61</v>
      </c>
      <c r="CW26" s="348"/>
      <c r="CX26" s="348"/>
      <c r="CY26" s="348"/>
      <c r="CZ26" s="348"/>
      <c r="DA26" s="348"/>
      <c r="DB26" s="348"/>
      <c r="DC26" s="348"/>
      <c r="DD26" s="348"/>
      <c r="DE26" s="349"/>
      <c r="DF26" s="347"/>
      <c r="DG26" s="348"/>
      <c r="DH26" s="348"/>
      <c r="DI26" s="348"/>
      <c r="DJ26" s="348"/>
      <c r="DK26" s="348"/>
      <c r="DL26" s="348"/>
      <c r="DM26" s="348"/>
      <c r="DN26" s="348"/>
      <c r="DO26" s="348"/>
      <c r="DP26" s="348"/>
      <c r="DQ26" s="348"/>
      <c r="DR26" s="349"/>
      <c r="DS26" s="352"/>
      <c r="DT26" s="353"/>
      <c r="DU26" s="353"/>
      <c r="DV26" s="353"/>
      <c r="DW26" s="353"/>
      <c r="DX26" s="353"/>
      <c r="DY26" s="353"/>
      <c r="DZ26" s="353"/>
      <c r="EA26" s="353"/>
      <c r="EB26" s="353"/>
      <c r="EC26" s="353"/>
      <c r="ED26" s="353"/>
      <c r="EE26" s="354"/>
      <c r="EF26" s="352"/>
      <c r="EG26" s="353"/>
      <c r="EH26" s="353"/>
      <c r="EI26" s="353"/>
      <c r="EJ26" s="353"/>
      <c r="EK26" s="353"/>
      <c r="EL26" s="353"/>
      <c r="EM26" s="353"/>
      <c r="EN26" s="353"/>
      <c r="EO26" s="353"/>
      <c r="EP26" s="353"/>
      <c r="EQ26" s="353"/>
      <c r="ER26" s="354"/>
      <c r="ES26" s="352"/>
      <c r="ET26" s="353"/>
      <c r="EU26" s="353"/>
      <c r="EV26" s="353"/>
      <c r="EW26" s="353"/>
      <c r="EX26" s="353"/>
      <c r="EY26" s="353"/>
      <c r="EZ26" s="353"/>
      <c r="FA26" s="353"/>
      <c r="FB26" s="353"/>
      <c r="FC26" s="353"/>
      <c r="FD26" s="353"/>
      <c r="FE26" s="354"/>
    </row>
    <row r="27" spans="1:161" x14ac:dyDescent="0.2">
      <c r="A27" s="347" t="s">
        <v>203</v>
      </c>
      <c r="B27" s="348"/>
      <c r="C27" s="348"/>
      <c r="D27" s="348"/>
      <c r="E27" s="348"/>
      <c r="F27" s="348"/>
      <c r="G27" s="348"/>
      <c r="H27" s="349"/>
      <c r="I27" s="399" t="s">
        <v>204</v>
      </c>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351" t="s">
        <v>205</v>
      </c>
      <c r="CO27" s="348"/>
      <c r="CP27" s="348"/>
      <c r="CQ27" s="348"/>
      <c r="CR27" s="348"/>
      <c r="CS27" s="348"/>
      <c r="CT27" s="348"/>
      <c r="CU27" s="349"/>
      <c r="CV27" s="347" t="s">
        <v>61</v>
      </c>
      <c r="CW27" s="348"/>
      <c r="CX27" s="348"/>
      <c r="CY27" s="348"/>
      <c r="CZ27" s="348"/>
      <c r="DA27" s="348"/>
      <c r="DB27" s="348"/>
      <c r="DC27" s="348"/>
      <c r="DD27" s="348"/>
      <c r="DE27" s="349"/>
      <c r="DF27" s="347"/>
      <c r="DG27" s="348"/>
      <c r="DH27" s="348"/>
      <c r="DI27" s="348"/>
      <c r="DJ27" s="348"/>
      <c r="DK27" s="348"/>
      <c r="DL27" s="348"/>
      <c r="DM27" s="348"/>
      <c r="DN27" s="348"/>
      <c r="DO27" s="348"/>
      <c r="DP27" s="348"/>
      <c r="DQ27" s="348"/>
      <c r="DR27" s="349"/>
      <c r="DS27" s="352">
        <v>36031262.280000001</v>
      </c>
      <c r="DT27" s="353"/>
      <c r="DU27" s="353"/>
      <c r="DV27" s="353"/>
      <c r="DW27" s="353"/>
      <c r="DX27" s="353"/>
      <c r="DY27" s="353"/>
      <c r="DZ27" s="353"/>
      <c r="EA27" s="353"/>
      <c r="EB27" s="353"/>
      <c r="EC27" s="353"/>
      <c r="ED27" s="353"/>
      <c r="EE27" s="354"/>
      <c r="EF27" s="352">
        <v>22081515.399999999</v>
      </c>
      <c r="EG27" s="353"/>
      <c r="EH27" s="353"/>
      <c r="EI27" s="353"/>
      <c r="EJ27" s="353"/>
      <c r="EK27" s="353"/>
      <c r="EL27" s="353"/>
      <c r="EM27" s="353"/>
      <c r="EN27" s="353"/>
      <c r="EO27" s="353"/>
      <c r="EP27" s="353"/>
      <c r="EQ27" s="353"/>
      <c r="ER27" s="354"/>
      <c r="ES27" s="352">
        <v>17076554.399999999</v>
      </c>
      <c r="ET27" s="353"/>
      <c r="EU27" s="353"/>
      <c r="EV27" s="353"/>
      <c r="EW27" s="353"/>
      <c r="EX27" s="353"/>
      <c r="EY27" s="353"/>
      <c r="EZ27" s="353"/>
      <c r="FA27" s="353"/>
      <c r="FB27" s="353"/>
      <c r="FC27" s="353"/>
      <c r="FD27" s="353"/>
      <c r="FE27" s="354"/>
    </row>
    <row r="28" spans="1:161" ht="24" customHeight="1" x14ac:dyDescent="0.2">
      <c r="A28" s="347" t="s">
        <v>206</v>
      </c>
      <c r="B28" s="348"/>
      <c r="C28" s="348"/>
      <c r="D28" s="348"/>
      <c r="E28" s="348"/>
      <c r="F28" s="348"/>
      <c r="G28" s="348"/>
      <c r="H28" s="349"/>
      <c r="I28" s="380" t="s">
        <v>188</v>
      </c>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51" t="s">
        <v>207</v>
      </c>
      <c r="CO28" s="348"/>
      <c r="CP28" s="348"/>
      <c r="CQ28" s="348"/>
      <c r="CR28" s="348"/>
      <c r="CS28" s="348"/>
      <c r="CT28" s="348"/>
      <c r="CU28" s="349"/>
      <c r="CV28" s="347" t="s">
        <v>61</v>
      </c>
      <c r="CW28" s="348"/>
      <c r="CX28" s="348"/>
      <c r="CY28" s="348"/>
      <c r="CZ28" s="348"/>
      <c r="DA28" s="348"/>
      <c r="DB28" s="348"/>
      <c r="DC28" s="348"/>
      <c r="DD28" s="348"/>
      <c r="DE28" s="349"/>
      <c r="DF28" s="347"/>
      <c r="DG28" s="348"/>
      <c r="DH28" s="348"/>
      <c r="DI28" s="348"/>
      <c r="DJ28" s="348"/>
      <c r="DK28" s="348"/>
      <c r="DL28" s="348"/>
      <c r="DM28" s="348"/>
      <c r="DN28" s="348"/>
      <c r="DO28" s="348"/>
      <c r="DP28" s="348"/>
      <c r="DQ28" s="348"/>
      <c r="DR28" s="349"/>
      <c r="DS28" s="352">
        <v>36031262.280000001</v>
      </c>
      <c r="DT28" s="353"/>
      <c r="DU28" s="353"/>
      <c r="DV28" s="353"/>
      <c r="DW28" s="353"/>
      <c r="DX28" s="353"/>
      <c r="DY28" s="353"/>
      <c r="DZ28" s="353"/>
      <c r="EA28" s="353"/>
      <c r="EB28" s="353"/>
      <c r="EC28" s="353"/>
      <c r="ED28" s="353"/>
      <c r="EE28" s="354"/>
      <c r="EF28" s="352">
        <v>22081515.399999999</v>
      </c>
      <c r="EG28" s="353"/>
      <c r="EH28" s="353"/>
      <c r="EI28" s="353"/>
      <c r="EJ28" s="353"/>
      <c r="EK28" s="353"/>
      <c r="EL28" s="353"/>
      <c r="EM28" s="353"/>
      <c r="EN28" s="353"/>
      <c r="EO28" s="353"/>
      <c r="EP28" s="353"/>
      <c r="EQ28" s="353"/>
      <c r="ER28" s="354"/>
      <c r="ES28" s="352">
        <v>17076554.399999999</v>
      </c>
      <c r="ET28" s="353"/>
      <c r="EU28" s="353"/>
      <c r="EV28" s="353"/>
      <c r="EW28" s="353"/>
      <c r="EX28" s="353"/>
      <c r="EY28" s="353"/>
      <c r="EZ28" s="353"/>
      <c r="FA28" s="353"/>
      <c r="FB28" s="353"/>
      <c r="FC28" s="353"/>
      <c r="FD28" s="353"/>
      <c r="FE28" s="354"/>
    </row>
    <row r="29" spans="1:161" s="243" customFormat="1" ht="24" customHeight="1" x14ac:dyDescent="0.2">
      <c r="A29" s="347"/>
      <c r="B29" s="348"/>
      <c r="C29" s="348"/>
      <c r="D29" s="348"/>
      <c r="E29" s="348"/>
      <c r="F29" s="348"/>
      <c r="G29" s="348"/>
      <c r="H29" s="349"/>
      <c r="I29" s="380" t="s">
        <v>396</v>
      </c>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2"/>
      <c r="CN29" s="351" t="s">
        <v>397</v>
      </c>
      <c r="CO29" s="348"/>
      <c r="CP29" s="348"/>
      <c r="CQ29" s="348"/>
      <c r="CR29" s="348"/>
      <c r="CS29" s="348"/>
      <c r="CT29" s="348"/>
      <c r="CU29" s="349"/>
      <c r="CV29" s="347" t="s">
        <v>61</v>
      </c>
      <c r="CW29" s="348"/>
      <c r="CX29" s="348"/>
      <c r="CY29" s="348"/>
      <c r="CZ29" s="348"/>
      <c r="DA29" s="348"/>
      <c r="DB29" s="348"/>
      <c r="DC29" s="348"/>
      <c r="DD29" s="348"/>
      <c r="DE29" s="349"/>
      <c r="DF29" s="347"/>
      <c r="DG29" s="348"/>
      <c r="DH29" s="348"/>
      <c r="DI29" s="348"/>
      <c r="DJ29" s="348"/>
      <c r="DK29" s="348"/>
      <c r="DL29" s="348"/>
      <c r="DM29" s="348"/>
      <c r="DN29" s="348"/>
      <c r="DO29" s="348"/>
      <c r="DP29" s="348"/>
      <c r="DQ29" s="348"/>
      <c r="DR29" s="349"/>
      <c r="DS29" s="352"/>
      <c r="DT29" s="353"/>
      <c r="DU29" s="353"/>
      <c r="DV29" s="353"/>
      <c r="DW29" s="353"/>
      <c r="DX29" s="353"/>
      <c r="DY29" s="353"/>
      <c r="DZ29" s="353"/>
      <c r="EA29" s="353"/>
      <c r="EB29" s="353"/>
      <c r="EC29" s="353"/>
      <c r="ED29" s="353"/>
      <c r="EE29" s="354"/>
      <c r="EF29" s="352"/>
      <c r="EG29" s="353"/>
      <c r="EH29" s="353"/>
      <c r="EI29" s="353"/>
      <c r="EJ29" s="353"/>
      <c r="EK29" s="353"/>
      <c r="EL29" s="353"/>
      <c r="EM29" s="353"/>
      <c r="EN29" s="353"/>
      <c r="EO29" s="353"/>
      <c r="EP29" s="353"/>
      <c r="EQ29" s="353"/>
      <c r="ER29" s="354"/>
      <c r="ES29" s="352"/>
      <c r="ET29" s="353"/>
      <c r="EU29" s="353"/>
      <c r="EV29" s="353"/>
      <c r="EW29" s="353"/>
      <c r="EX29" s="353"/>
      <c r="EY29" s="353"/>
      <c r="EZ29" s="353"/>
      <c r="FA29" s="353"/>
      <c r="FB29" s="353"/>
      <c r="FC29" s="353"/>
      <c r="FD29" s="353"/>
      <c r="FE29" s="354"/>
    </row>
    <row r="30" spans="1:161" ht="12.75" customHeight="1" x14ac:dyDescent="0.2">
      <c r="A30" s="347" t="s">
        <v>208</v>
      </c>
      <c r="B30" s="348"/>
      <c r="C30" s="348"/>
      <c r="D30" s="348"/>
      <c r="E30" s="348"/>
      <c r="F30" s="348"/>
      <c r="G30" s="348"/>
      <c r="H30" s="349"/>
      <c r="I30" s="380" t="s">
        <v>191</v>
      </c>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51" t="s">
        <v>209</v>
      </c>
      <c r="CO30" s="348"/>
      <c r="CP30" s="348"/>
      <c r="CQ30" s="348"/>
      <c r="CR30" s="348"/>
      <c r="CS30" s="348"/>
      <c r="CT30" s="348"/>
      <c r="CU30" s="349"/>
      <c r="CV30" s="347" t="s">
        <v>61</v>
      </c>
      <c r="CW30" s="348"/>
      <c r="CX30" s="348"/>
      <c r="CY30" s="348"/>
      <c r="CZ30" s="348"/>
      <c r="DA30" s="348"/>
      <c r="DB30" s="348"/>
      <c r="DC30" s="348"/>
      <c r="DD30" s="348"/>
      <c r="DE30" s="349"/>
      <c r="DF30" s="347"/>
      <c r="DG30" s="348"/>
      <c r="DH30" s="348"/>
      <c r="DI30" s="348"/>
      <c r="DJ30" s="348"/>
      <c r="DK30" s="348"/>
      <c r="DL30" s="348"/>
      <c r="DM30" s="348"/>
      <c r="DN30" s="348"/>
      <c r="DO30" s="348"/>
      <c r="DP30" s="348"/>
      <c r="DQ30" s="348"/>
      <c r="DR30" s="349"/>
      <c r="DS30" s="352">
        <v>0</v>
      </c>
      <c r="DT30" s="353"/>
      <c r="DU30" s="353"/>
      <c r="DV30" s="353"/>
      <c r="DW30" s="353"/>
      <c r="DX30" s="353"/>
      <c r="DY30" s="353"/>
      <c r="DZ30" s="353"/>
      <c r="EA30" s="353"/>
      <c r="EB30" s="353"/>
      <c r="EC30" s="353"/>
      <c r="ED30" s="353"/>
      <c r="EE30" s="354"/>
      <c r="EF30" s="352">
        <v>0</v>
      </c>
      <c r="EG30" s="353"/>
      <c r="EH30" s="353"/>
      <c r="EI30" s="353"/>
      <c r="EJ30" s="353"/>
      <c r="EK30" s="353"/>
      <c r="EL30" s="353"/>
      <c r="EM30" s="353"/>
      <c r="EN30" s="353"/>
      <c r="EO30" s="353"/>
      <c r="EP30" s="353"/>
      <c r="EQ30" s="353"/>
      <c r="ER30" s="354"/>
      <c r="ES30" s="352">
        <v>0</v>
      </c>
      <c r="ET30" s="353"/>
      <c r="EU30" s="353"/>
      <c r="EV30" s="353"/>
      <c r="EW30" s="353"/>
      <c r="EX30" s="353"/>
      <c r="EY30" s="353"/>
      <c r="EZ30" s="353"/>
      <c r="FA30" s="353"/>
      <c r="FB30" s="353"/>
      <c r="FC30" s="353"/>
      <c r="FD30" s="353"/>
      <c r="FE30" s="354"/>
    </row>
    <row r="31" spans="1:161" ht="13.5" customHeight="1" thickBot="1" x14ac:dyDescent="0.25">
      <c r="A31" s="347" t="s">
        <v>210</v>
      </c>
      <c r="B31" s="348"/>
      <c r="C31" s="348"/>
      <c r="D31" s="348"/>
      <c r="E31" s="348"/>
      <c r="F31" s="348"/>
      <c r="G31" s="348"/>
      <c r="H31" s="349"/>
      <c r="I31" s="399" t="s">
        <v>211</v>
      </c>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382" t="s">
        <v>212</v>
      </c>
      <c r="CO31" s="383"/>
      <c r="CP31" s="383"/>
      <c r="CQ31" s="383"/>
      <c r="CR31" s="383"/>
      <c r="CS31" s="383"/>
      <c r="CT31" s="383"/>
      <c r="CU31" s="384"/>
      <c r="CV31" s="385" t="s">
        <v>61</v>
      </c>
      <c r="CW31" s="383"/>
      <c r="CX31" s="383"/>
      <c r="CY31" s="383"/>
      <c r="CZ31" s="383"/>
      <c r="DA31" s="383"/>
      <c r="DB31" s="383"/>
      <c r="DC31" s="383"/>
      <c r="DD31" s="383"/>
      <c r="DE31" s="384"/>
      <c r="DF31" s="385"/>
      <c r="DG31" s="383"/>
      <c r="DH31" s="383"/>
      <c r="DI31" s="383"/>
      <c r="DJ31" s="383"/>
      <c r="DK31" s="383"/>
      <c r="DL31" s="383"/>
      <c r="DM31" s="383"/>
      <c r="DN31" s="383"/>
      <c r="DO31" s="383"/>
      <c r="DP31" s="383"/>
      <c r="DQ31" s="383"/>
      <c r="DR31" s="384"/>
      <c r="DS31" s="389">
        <v>4183134.86</v>
      </c>
      <c r="DT31" s="390"/>
      <c r="DU31" s="390"/>
      <c r="DV31" s="390"/>
      <c r="DW31" s="390"/>
      <c r="DX31" s="390"/>
      <c r="DY31" s="390"/>
      <c r="DZ31" s="390"/>
      <c r="EA31" s="390"/>
      <c r="EB31" s="390"/>
      <c r="EC31" s="390"/>
      <c r="ED31" s="390"/>
      <c r="EE31" s="391"/>
      <c r="EF31" s="389">
        <v>2887050</v>
      </c>
      <c r="EG31" s="390"/>
      <c r="EH31" s="390"/>
      <c r="EI31" s="390"/>
      <c r="EJ31" s="390"/>
      <c r="EK31" s="390"/>
      <c r="EL31" s="390"/>
      <c r="EM31" s="390"/>
      <c r="EN31" s="390"/>
      <c r="EO31" s="390"/>
      <c r="EP31" s="390"/>
      <c r="EQ31" s="390"/>
      <c r="ER31" s="391"/>
      <c r="ES31" s="389">
        <v>2418950</v>
      </c>
      <c r="ET31" s="390"/>
      <c r="EU31" s="390"/>
      <c r="EV31" s="390"/>
      <c r="EW31" s="390"/>
      <c r="EX31" s="390"/>
      <c r="EY31" s="390"/>
      <c r="EZ31" s="390"/>
      <c r="FA31" s="390"/>
      <c r="FB31" s="390"/>
      <c r="FC31" s="390"/>
      <c r="FD31" s="390"/>
      <c r="FE31" s="391"/>
    </row>
    <row r="32" spans="1:161" ht="24" customHeight="1" x14ac:dyDescent="0.2">
      <c r="A32" s="347" t="s">
        <v>213</v>
      </c>
      <c r="B32" s="348"/>
      <c r="C32" s="348"/>
      <c r="D32" s="348"/>
      <c r="E32" s="348"/>
      <c r="F32" s="348"/>
      <c r="G32" s="348"/>
      <c r="H32" s="349"/>
      <c r="I32" s="380" t="s">
        <v>188</v>
      </c>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92" t="s">
        <v>214</v>
      </c>
      <c r="CO32" s="393"/>
      <c r="CP32" s="393"/>
      <c r="CQ32" s="393"/>
      <c r="CR32" s="393"/>
      <c r="CS32" s="393"/>
      <c r="CT32" s="393"/>
      <c r="CU32" s="394"/>
      <c r="CV32" s="395" t="s">
        <v>61</v>
      </c>
      <c r="CW32" s="393"/>
      <c r="CX32" s="393"/>
      <c r="CY32" s="393"/>
      <c r="CZ32" s="393"/>
      <c r="DA32" s="393"/>
      <c r="DB32" s="393"/>
      <c r="DC32" s="393"/>
      <c r="DD32" s="393"/>
      <c r="DE32" s="394"/>
      <c r="DF32" s="395"/>
      <c r="DG32" s="393"/>
      <c r="DH32" s="393"/>
      <c r="DI32" s="393"/>
      <c r="DJ32" s="393"/>
      <c r="DK32" s="393"/>
      <c r="DL32" s="393"/>
      <c r="DM32" s="393"/>
      <c r="DN32" s="393"/>
      <c r="DO32" s="393"/>
      <c r="DP32" s="393"/>
      <c r="DQ32" s="393"/>
      <c r="DR32" s="394"/>
      <c r="DS32" s="396">
        <v>4183134.86</v>
      </c>
      <c r="DT32" s="397"/>
      <c r="DU32" s="397"/>
      <c r="DV32" s="397"/>
      <c r="DW32" s="397"/>
      <c r="DX32" s="397"/>
      <c r="DY32" s="397"/>
      <c r="DZ32" s="397"/>
      <c r="EA32" s="397"/>
      <c r="EB32" s="397"/>
      <c r="EC32" s="397"/>
      <c r="ED32" s="397"/>
      <c r="EE32" s="398"/>
      <c r="EF32" s="396">
        <v>2887050</v>
      </c>
      <c r="EG32" s="397"/>
      <c r="EH32" s="397"/>
      <c r="EI32" s="397"/>
      <c r="EJ32" s="397"/>
      <c r="EK32" s="397"/>
      <c r="EL32" s="397"/>
      <c r="EM32" s="397"/>
      <c r="EN32" s="397"/>
      <c r="EO32" s="397"/>
      <c r="EP32" s="397"/>
      <c r="EQ32" s="397"/>
      <c r="ER32" s="398"/>
      <c r="ES32" s="396">
        <v>2418950</v>
      </c>
      <c r="ET32" s="397"/>
      <c r="EU32" s="397"/>
      <c r="EV32" s="397"/>
      <c r="EW32" s="397"/>
      <c r="EX32" s="397"/>
      <c r="EY32" s="397"/>
      <c r="EZ32" s="397"/>
      <c r="FA32" s="397"/>
      <c r="FB32" s="397"/>
      <c r="FC32" s="397"/>
      <c r="FD32" s="397"/>
      <c r="FE32" s="398"/>
    </row>
    <row r="33" spans="1:161" s="248" customFormat="1" ht="24" customHeight="1" x14ac:dyDescent="0.2">
      <c r="A33" s="347"/>
      <c r="B33" s="348"/>
      <c r="C33" s="348"/>
      <c r="D33" s="348"/>
      <c r="E33" s="348"/>
      <c r="F33" s="348"/>
      <c r="G33" s="348"/>
      <c r="H33" s="349"/>
      <c r="I33" s="380" t="s">
        <v>424</v>
      </c>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401"/>
      <c r="BM33" s="401"/>
      <c r="BN33" s="401"/>
      <c r="BO33" s="401"/>
      <c r="BP33" s="401"/>
      <c r="BQ33" s="401"/>
      <c r="BR33" s="401"/>
      <c r="BS33" s="401"/>
      <c r="BT33" s="401"/>
      <c r="BU33" s="401"/>
      <c r="BV33" s="401"/>
      <c r="BW33" s="401"/>
      <c r="BX33" s="401"/>
      <c r="BY33" s="401"/>
      <c r="BZ33" s="401"/>
      <c r="CA33" s="401"/>
      <c r="CB33" s="401"/>
      <c r="CC33" s="401"/>
      <c r="CD33" s="401"/>
      <c r="CE33" s="401"/>
      <c r="CF33" s="401"/>
      <c r="CG33" s="401"/>
      <c r="CH33" s="401"/>
      <c r="CI33" s="401"/>
      <c r="CJ33" s="401"/>
      <c r="CK33" s="401"/>
      <c r="CL33" s="401"/>
      <c r="CM33" s="402"/>
      <c r="CN33" s="351" t="s">
        <v>428</v>
      </c>
      <c r="CO33" s="348"/>
      <c r="CP33" s="348"/>
      <c r="CQ33" s="348"/>
      <c r="CR33" s="348"/>
      <c r="CS33" s="348"/>
      <c r="CT33" s="348"/>
      <c r="CU33" s="349"/>
      <c r="CV33" s="347" t="s">
        <v>61</v>
      </c>
      <c r="CW33" s="348"/>
      <c r="CX33" s="348"/>
      <c r="CY33" s="348"/>
      <c r="CZ33" s="348"/>
      <c r="DA33" s="348"/>
      <c r="DB33" s="348"/>
      <c r="DC33" s="348"/>
      <c r="DD33" s="348"/>
      <c r="DE33" s="349"/>
      <c r="DF33" s="347"/>
      <c r="DG33" s="348"/>
      <c r="DH33" s="348"/>
      <c r="DI33" s="348"/>
      <c r="DJ33" s="348"/>
      <c r="DK33" s="348"/>
      <c r="DL33" s="348"/>
      <c r="DM33" s="348"/>
      <c r="DN33" s="348"/>
      <c r="DO33" s="348"/>
      <c r="DP33" s="348"/>
      <c r="DQ33" s="348"/>
      <c r="DR33" s="349"/>
      <c r="DS33" s="352"/>
      <c r="DT33" s="353"/>
      <c r="DU33" s="353"/>
      <c r="DV33" s="353"/>
      <c r="DW33" s="353"/>
      <c r="DX33" s="353"/>
      <c r="DY33" s="353"/>
      <c r="DZ33" s="353"/>
      <c r="EA33" s="353"/>
      <c r="EB33" s="353"/>
      <c r="EC33" s="353"/>
      <c r="ED33" s="353"/>
      <c r="EE33" s="354"/>
      <c r="EF33" s="352"/>
      <c r="EG33" s="353"/>
      <c r="EH33" s="353"/>
      <c r="EI33" s="353"/>
      <c r="EJ33" s="353"/>
      <c r="EK33" s="353"/>
      <c r="EL33" s="353"/>
      <c r="EM33" s="353"/>
      <c r="EN33" s="353"/>
      <c r="EO33" s="353"/>
      <c r="EP33" s="353"/>
      <c r="EQ33" s="353"/>
      <c r="ER33" s="354"/>
      <c r="ES33" s="352"/>
      <c r="ET33" s="353"/>
      <c r="EU33" s="353"/>
      <c r="EV33" s="353"/>
      <c r="EW33" s="353"/>
      <c r="EX33" s="353"/>
      <c r="EY33" s="353"/>
      <c r="EZ33" s="353"/>
      <c r="FA33" s="353"/>
      <c r="FB33" s="353"/>
      <c r="FC33" s="353"/>
      <c r="FD33" s="353"/>
      <c r="FE33" s="354"/>
    </row>
    <row r="34" spans="1:161" x14ac:dyDescent="0.2">
      <c r="A34" s="347" t="s">
        <v>215</v>
      </c>
      <c r="B34" s="348"/>
      <c r="C34" s="348"/>
      <c r="D34" s="348"/>
      <c r="E34" s="348"/>
      <c r="F34" s="348"/>
      <c r="G34" s="348"/>
      <c r="H34" s="349"/>
      <c r="I34" s="380" t="s">
        <v>216</v>
      </c>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51" t="s">
        <v>217</v>
      </c>
      <c r="CO34" s="348"/>
      <c r="CP34" s="348"/>
      <c r="CQ34" s="348"/>
      <c r="CR34" s="348"/>
      <c r="CS34" s="348"/>
      <c r="CT34" s="348"/>
      <c r="CU34" s="349"/>
      <c r="CV34" s="347" t="s">
        <v>61</v>
      </c>
      <c r="CW34" s="348"/>
      <c r="CX34" s="348"/>
      <c r="CY34" s="348"/>
      <c r="CZ34" s="348"/>
      <c r="DA34" s="348"/>
      <c r="DB34" s="348"/>
      <c r="DC34" s="348"/>
      <c r="DD34" s="348"/>
      <c r="DE34" s="349"/>
      <c r="DF34" s="347"/>
      <c r="DG34" s="348"/>
      <c r="DH34" s="348"/>
      <c r="DI34" s="348"/>
      <c r="DJ34" s="348"/>
      <c r="DK34" s="348"/>
      <c r="DL34" s="348"/>
      <c r="DM34" s="348"/>
      <c r="DN34" s="348"/>
      <c r="DO34" s="348"/>
      <c r="DP34" s="348"/>
      <c r="DQ34" s="348"/>
      <c r="DR34" s="349"/>
      <c r="DS34" s="352">
        <v>0</v>
      </c>
      <c r="DT34" s="353"/>
      <c r="DU34" s="353"/>
      <c r="DV34" s="353"/>
      <c r="DW34" s="353"/>
      <c r="DX34" s="353"/>
      <c r="DY34" s="353"/>
      <c r="DZ34" s="353"/>
      <c r="EA34" s="353"/>
      <c r="EB34" s="353"/>
      <c r="EC34" s="353"/>
      <c r="ED34" s="353"/>
      <c r="EE34" s="354"/>
      <c r="EF34" s="352">
        <v>0</v>
      </c>
      <c r="EG34" s="353"/>
      <c r="EH34" s="353"/>
      <c r="EI34" s="353"/>
      <c r="EJ34" s="353"/>
      <c r="EK34" s="353"/>
      <c r="EL34" s="353"/>
      <c r="EM34" s="353"/>
      <c r="EN34" s="353"/>
      <c r="EO34" s="353"/>
      <c r="EP34" s="353"/>
      <c r="EQ34" s="353"/>
      <c r="ER34" s="354"/>
      <c r="ES34" s="352">
        <v>0</v>
      </c>
      <c r="ET34" s="353"/>
      <c r="EU34" s="353"/>
      <c r="EV34" s="353"/>
      <c r="EW34" s="353"/>
      <c r="EX34" s="353"/>
      <c r="EY34" s="353"/>
      <c r="EZ34" s="353"/>
      <c r="FA34" s="353"/>
      <c r="FB34" s="353"/>
      <c r="FC34" s="353"/>
      <c r="FD34" s="353"/>
      <c r="FE34" s="354"/>
    </row>
    <row r="35" spans="1:161" ht="24" customHeight="1" x14ac:dyDescent="0.2">
      <c r="A35" s="347" t="s">
        <v>18</v>
      </c>
      <c r="B35" s="348"/>
      <c r="C35" s="348"/>
      <c r="D35" s="348"/>
      <c r="E35" s="348"/>
      <c r="F35" s="348"/>
      <c r="G35" s="348"/>
      <c r="H35" s="349"/>
      <c r="I35" s="305" t="s">
        <v>218</v>
      </c>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1" t="s">
        <v>219</v>
      </c>
      <c r="CO35" s="348"/>
      <c r="CP35" s="348"/>
      <c r="CQ35" s="348"/>
      <c r="CR35" s="348"/>
      <c r="CS35" s="348"/>
      <c r="CT35" s="348"/>
      <c r="CU35" s="349"/>
      <c r="CV35" s="347" t="s">
        <v>61</v>
      </c>
      <c r="CW35" s="348"/>
      <c r="CX35" s="348"/>
      <c r="CY35" s="348"/>
      <c r="CZ35" s="348"/>
      <c r="DA35" s="348"/>
      <c r="DB35" s="348"/>
      <c r="DC35" s="348"/>
      <c r="DD35" s="348"/>
      <c r="DE35" s="349"/>
      <c r="DF35" s="347"/>
      <c r="DG35" s="348"/>
      <c r="DH35" s="348"/>
      <c r="DI35" s="348"/>
      <c r="DJ35" s="348"/>
      <c r="DK35" s="348"/>
      <c r="DL35" s="348"/>
      <c r="DM35" s="348"/>
      <c r="DN35" s="348"/>
      <c r="DO35" s="348"/>
      <c r="DP35" s="348"/>
      <c r="DQ35" s="348"/>
      <c r="DR35" s="349"/>
      <c r="DS35" s="386">
        <f>DS15+DS18+DS27+DS31</f>
        <v>54121554.490000002</v>
      </c>
      <c r="DT35" s="387"/>
      <c r="DU35" s="387"/>
      <c r="DV35" s="387"/>
      <c r="DW35" s="387"/>
      <c r="DX35" s="387"/>
      <c r="DY35" s="387"/>
      <c r="DZ35" s="387"/>
      <c r="EA35" s="387"/>
      <c r="EB35" s="387"/>
      <c r="EC35" s="387"/>
      <c r="ED35" s="387"/>
      <c r="EE35" s="388"/>
      <c r="EF35" s="386">
        <f>EF15+EF18+EF27+EF31</f>
        <v>40428682.600000001</v>
      </c>
      <c r="EG35" s="387"/>
      <c r="EH35" s="387"/>
      <c r="EI35" s="387"/>
      <c r="EJ35" s="387"/>
      <c r="EK35" s="387"/>
      <c r="EL35" s="387"/>
      <c r="EM35" s="387"/>
      <c r="EN35" s="387"/>
      <c r="EO35" s="387"/>
      <c r="EP35" s="387"/>
      <c r="EQ35" s="387"/>
      <c r="ER35" s="388"/>
      <c r="ES35" s="386">
        <f>ES15+ES18+ES27+ES31</f>
        <v>20053559.899999999</v>
      </c>
      <c r="ET35" s="387"/>
      <c r="EU35" s="387"/>
      <c r="EV35" s="387"/>
      <c r="EW35" s="387"/>
      <c r="EX35" s="387"/>
      <c r="EY35" s="387"/>
      <c r="EZ35" s="387"/>
      <c r="FA35" s="387"/>
      <c r="FB35" s="387"/>
      <c r="FC35" s="387"/>
      <c r="FD35" s="387"/>
      <c r="FE35" s="388"/>
    </row>
    <row r="36" spans="1:161" ht="11.25" customHeight="1" x14ac:dyDescent="0.2">
      <c r="A36" s="355"/>
      <c r="B36" s="356"/>
      <c r="C36" s="356"/>
      <c r="D36" s="356"/>
      <c r="E36" s="356"/>
      <c r="F36" s="356"/>
      <c r="G36" s="356"/>
      <c r="H36" s="357"/>
      <c r="I36" s="360" t="s">
        <v>220</v>
      </c>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61"/>
      <c r="BN36" s="461"/>
      <c r="BO36" s="461"/>
      <c r="BP36" s="461"/>
      <c r="BQ36" s="461"/>
      <c r="BR36" s="461"/>
      <c r="BS36" s="461"/>
      <c r="BT36" s="461"/>
      <c r="BU36" s="461"/>
      <c r="BV36" s="461"/>
      <c r="BW36" s="461"/>
      <c r="BX36" s="461"/>
      <c r="BY36" s="461"/>
      <c r="BZ36" s="461"/>
      <c r="CA36" s="461"/>
      <c r="CB36" s="461"/>
      <c r="CC36" s="461"/>
      <c r="CD36" s="461"/>
      <c r="CE36" s="461"/>
      <c r="CF36" s="461"/>
      <c r="CG36" s="461"/>
      <c r="CH36" s="461"/>
      <c r="CI36" s="461"/>
      <c r="CJ36" s="461"/>
      <c r="CK36" s="461"/>
      <c r="CL36" s="461"/>
      <c r="CM36" s="462"/>
      <c r="CN36" s="363" t="s">
        <v>221</v>
      </c>
      <c r="CO36" s="356"/>
      <c r="CP36" s="356"/>
      <c r="CQ36" s="356"/>
      <c r="CR36" s="356"/>
      <c r="CS36" s="356"/>
      <c r="CT36" s="356"/>
      <c r="CU36" s="357"/>
      <c r="CV36" s="355"/>
      <c r="CW36" s="356"/>
      <c r="CX36" s="356"/>
      <c r="CY36" s="356"/>
      <c r="CZ36" s="356"/>
      <c r="DA36" s="356"/>
      <c r="DB36" s="356"/>
      <c r="DC36" s="356"/>
      <c r="DD36" s="356"/>
      <c r="DE36" s="357"/>
      <c r="DF36" s="355"/>
      <c r="DG36" s="356"/>
      <c r="DH36" s="356"/>
      <c r="DI36" s="356"/>
      <c r="DJ36" s="356"/>
      <c r="DK36" s="356"/>
      <c r="DL36" s="356"/>
      <c r="DM36" s="356"/>
      <c r="DN36" s="356"/>
      <c r="DO36" s="356"/>
      <c r="DP36" s="356"/>
      <c r="DQ36" s="356"/>
      <c r="DR36" s="357"/>
      <c r="DS36" s="368">
        <f>DS10</f>
        <v>18235160</v>
      </c>
      <c r="DT36" s="369"/>
      <c r="DU36" s="369"/>
      <c r="DV36" s="369"/>
      <c r="DW36" s="369"/>
      <c r="DX36" s="369"/>
      <c r="DY36" s="369"/>
      <c r="DZ36" s="369"/>
      <c r="EA36" s="369"/>
      <c r="EB36" s="369"/>
      <c r="EC36" s="369"/>
      <c r="ED36" s="369"/>
      <c r="EE36" s="370"/>
      <c r="EF36" s="368">
        <f>EF10</f>
        <v>20574300</v>
      </c>
      <c r="EG36" s="369"/>
      <c r="EH36" s="369"/>
      <c r="EI36" s="369"/>
      <c r="EJ36" s="369"/>
      <c r="EK36" s="369"/>
      <c r="EL36" s="369"/>
      <c r="EM36" s="369"/>
      <c r="EN36" s="369"/>
      <c r="EO36" s="369"/>
      <c r="EP36" s="369"/>
      <c r="EQ36" s="369"/>
      <c r="ER36" s="370"/>
      <c r="ES36" s="368">
        <f>ES10</f>
        <v>3000000</v>
      </c>
      <c r="ET36" s="369"/>
      <c r="EU36" s="369"/>
      <c r="EV36" s="369"/>
      <c r="EW36" s="369"/>
      <c r="EX36" s="369"/>
      <c r="EY36" s="369"/>
      <c r="EZ36" s="369"/>
      <c r="FA36" s="369"/>
      <c r="FB36" s="369"/>
      <c r="FC36" s="369"/>
      <c r="FD36" s="369"/>
      <c r="FE36" s="370"/>
    </row>
    <row r="37" spans="1:161" x14ac:dyDescent="0.2">
      <c r="A37" s="358"/>
      <c r="B37" s="333"/>
      <c r="C37" s="333"/>
      <c r="D37" s="333"/>
      <c r="E37" s="333"/>
      <c r="F37" s="333"/>
      <c r="G37" s="333"/>
      <c r="H37" s="359"/>
      <c r="I37" s="374"/>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463"/>
      <c r="CI37" s="463"/>
      <c r="CJ37" s="463"/>
      <c r="CK37" s="463"/>
      <c r="CL37" s="463"/>
      <c r="CM37" s="464"/>
      <c r="CN37" s="376"/>
      <c r="CO37" s="333"/>
      <c r="CP37" s="333"/>
      <c r="CQ37" s="333"/>
      <c r="CR37" s="333"/>
      <c r="CS37" s="333"/>
      <c r="CT37" s="333"/>
      <c r="CU37" s="359"/>
      <c r="CV37" s="358"/>
      <c r="CW37" s="333"/>
      <c r="CX37" s="333"/>
      <c r="CY37" s="333"/>
      <c r="CZ37" s="333"/>
      <c r="DA37" s="333"/>
      <c r="DB37" s="333"/>
      <c r="DC37" s="333"/>
      <c r="DD37" s="333"/>
      <c r="DE37" s="359"/>
      <c r="DF37" s="358"/>
      <c r="DG37" s="333"/>
      <c r="DH37" s="333"/>
      <c r="DI37" s="333"/>
      <c r="DJ37" s="333"/>
      <c r="DK37" s="333"/>
      <c r="DL37" s="333"/>
      <c r="DM37" s="333"/>
      <c r="DN37" s="333"/>
      <c r="DO37" s="333"/>
      <c r="DP37" s="333"/>
      <c r="DQ37" s="333"/>
      <c r="DR37" s="359"/>
      <c r="DS37" s="377"/>
      <c r="DT37" s="378"/>
      <c r="DU37" s="378"/>
      <c r="DV37" s="378"/>
      <c r="DW37" s="378"/>
      <c r="DX37" s="378"/>
      <c r="DY37" s="378"/>
      <c r="DZ37" s="378"/>
      <c r="EA37" s="378"/>
      <c r="EB37" s="378"/>
      <c r="EC37" s="378"/>
      <c r="ED37" s="378"/>
      <c r="EE37" s="379"/>
      <c r="EF37" s="377"/>
      <c r="EG37" s="378"/>
      <c r="EH37" s="378"/>
      <c r="EI37" s="378"/>
      <c r="EJ37" s="378"/>
      <c r="EK37" s="378"/>
      <c r="EL37" s="378"/>
      <c r="EM37" s="378"/>
      <c r="EN37" s="378"/>
      <c r="EO37" s="378"/>
      <c r="EP37" s="378"/>
      <c r="EQ37" s="378"/>
      <c r="ER37" s="379"/>
      <c r="ES37" s="377"/>
      <c r="ET37" s="378"/>
      <c r="EU37" s="378"/>
      <c r="EV37" s="378"/>
      <c r="EW37" s="378"/>
      <c r="EX37" s="378"/>
      <c r="EY37" s="378"/>
      <c r="EZ37" s="378"/>
      <c r="FA37" s="378"/>
      <c r="FB37" s="378"/>
      <c r="FC37" s="378"/>
      <c r="FD37" s="378"/>
      <c r="FE37" s="379"/>
    </row>
    <row r="38" spans="1:161" ht="24" customHeight="1" x14ac:dyDescent="0.2">
      <c r="A38" s="347" t="s">
        <v>19</v>
      </c>
      <c r="B38" s="348"/>
      <c r="C38" s="348"/>
      <c r="D38" s="348"/>
      <c r="E38" s="348"/>
      <c r="F38" s="348"/>
      <c r="G38" s="348"/>
      <c r="H38" s="349"/>
      <c r="I38" s="305" t="s">
        <v>222</v>
      </c>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1" t="s">
        <v>223</v>
      </c>
      <c r="CO38" s="348"/>
      <c r="CP38" s="348"/>
      <c r="CQ38" s="348"/>
      <c r="CR38" s="348"/>
      <c r="CS38" s="348"/>
      <c r="CT38" s="348"/>
      <c r="CU38" s="349"/>
      <c r="CV38" s="347" t="s">
        <v>61</v>
      </c>
      <c r="CW38" s="348"/>
      <c r="CX38" s="348"/>
      <c r="CY38" s="348"/>
      <c r="CZ38" s="348"/>
      <c r="DA38" s="348"/>
      <c r="DB38" s="348"/>
      <c r="DC38" s="348"/>
      <c r="DD38" s="348"/>
      <c r="DE38" s="349"/>
      <c r="DF38" s="347"/>
      <c r="DG38" s="348"/>
      <c r="DH38" s="348"/>
      <c r="DI38" s="348"/>
      <c r="DJ38" s="348"/>
      <c r="DK38" s="348"/>
      <c r="DL38" s="348"/>
      <c r="DM38" s="348"/>
      <c r="DN38" s="348"/>
      <c r="DO38" s="348"/>
      <c r="DP38" s="348"/>
      <c r="DQ38" s="348"/>
      <c r="DR38" s="349"/>
      <c r="DS38" s="352">
        <v>0</v>
      </c>
      <c r="DT38" s="353"/>
      <c r="DU38" s="353"/>
      <c r="DV38" s="353"/>
      <c r="DW38" s="353"/>
      <c r="DX38" s="353"/>
      <c r="DY38" s="353"/>
      <c r="DZ38" s="353"/>
      <c r="EA38" s="353"/>
      <c r="EB38" s="353"/>
      <c r="EC38" s="353"/>
      <c r="ED38" s="353"/>
      <c r="EE38" s="354"/>
      <c r="EF38" s="352">
        <v>0</v>
      </c>
      <c r="EG38" s="353"/>
      <c r="EH38" s="353"/>
      <c r="EI38" s="353"/>
      <c r="EJ38" s="353"/>
      <c r="EK38" s="353"/>
      <c r="EL38" s="353"/>
      <c r="EM38" s="353"/>
      <c r="EN38" s="353"/>
      <c r="EO38" s="353"/>
      <c r="EP38" s="353"/>
      <c r="EQ38" s="353"/>
      <c r="ER38" s="354"/>
      <c r="ES38" s="352">
        <v>0</v>
      </c>
      <c r="ET38" s="353"/>
      <c r="EU38" s="353"/>
      <c r="EV38" s="353"/>
      <c r="EW38" s="353"/>
      <c r="EX38" s="353"/>
      <c r="EY38" s="353"/>
      <c r="EZ38" s="353"/>
      <c r="FA38" s="353"/>
      <c r="FB38" s="353"/>
      <c r="FC38" s="353"/>
      <c r="FD38" s="353"/>
      <c r="FE38" s="354"/>
    </row>
    <row r="39" spans="1:161" ht="12.75" customHeight="1" x14ac:dyDescent="0.2">
      <c r="A39" s="355"/>
      <c r="B39" s="356"/>
      <c r="C39" s="356"/>
      <c r="D39" s="356"/>
      <c r="E39" s="356"/>
      <c r="F39" s="356"/>
      <c r="G39" s="356"/>
      <c r="H39" s="357"/>
      <c r="I39" s="360" t="s">
        <v>220</v>
      </c>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61"/>
      <c r="CC39" s="361"/>
      <c r="CD39" s="361"/>
      <c r="CE39" s="361"/>
      <c r="CF39" s="361"/>
      <c r="CG39" s="361"/>
      <c r="CH39" s="361"/>
      <c r="CI39" s="361"/>
      <c r="CJ39" s="361"/>
      <c r="CK39" s="361"/>
      <c r="CL39" s="361"/>
      <c r="CM39" s="362"/>
      <c r="CN39" s="363" t="s">
        <v>224</v>
      </c>
      <c r="CO39" s="356"/>
      <c r="CP39" s="356"/>
      <c r="CQ39" s="356"/>
      <c r="CR39" s="356"/>
      <c r="CS39" s="356"/>
      <c r="CT39" s="356"/>
      <c r="CU39" s="357"/>
      <c r="CV39" s="355"/>
      <c r="CW39" s="356"/>
      <c r="CX39" s="356"/>
      <c r="CY39" s="356"/>
      <c r="CZ39" s="356"/>
      <c r="DA39" s="356"/>
      <c r="DB39" s="356"/>
      <c r="DC39" s="356"/>
      <c r="DD39" s="356"/>
      <c r="DE39" s="357"/>
      <c r="DF39" s="355"/>
      <c r="DG39" s="356"/>
      <c r="DH39" s="356"/>
      <c r="DI39" s="356"/>
      <c r="DJ39" s="356"/>
      <c r="DK39" s="356"/>
      <c r="DL39" s="356"/>
      <c r="DM39" s="356"/>
      <c r="DN39" s="356"/>
      <c r="DO39" s="356"/>
      <c r="DP39" s="356"/>
      <c r="DQ39" s="356"/>
      <c r="DR39" s="357"/>
      <c r="DS39" s="368">
        <v>0</v>
      </c>
      <c r="DT39" s="369"/>
      <c r="DU39" s="369"/>
      <c r="DV39" s="369"/>
      <c r="DW39" s="369"/>
      <c r="DX39" s="369"/>
      <c r="DY39" s="369"/>
      <c r="DZ39" s="369"/>
      <c r="EA39" s="369"/>
      <c r="EB39" s="369"/>
      <c r="EC39" s="369"/>
      <c r="ED39" s="369"/>
      <c r="EE39" s="370"/>
      <c r="EF39" s="368">
        <v>0</v>
      </c>
      <c r="EG39" s="369"/>
      <c r="EH39" s="369"/>
      <c r="EI39" s="369"/>
      <c r="EJ39" s="369"/>
      <c r="EK39" s="369"/>
      <c r="EL39" s="369"/>
      <c r="EM39" s="369"/>
      <c r="EN39" s="369"/>
      <c r="EO39" s="369"/>
      <c r="EP39" s="369"/>
      <c r="EQ39" s="369"/>
      <c r="ER39" s="370"/>
      <c r="ES39" s="368">
        <v>0</v>
      </c>
      <c r="ET39" s="369"/>
      <c r="EU39" s="369"/>
      <c r="EV39" s="369"/>
      <c r="EW39" s="369"/>
      <c r="EX39" s="369"/>
      <c r="EY39" s="369"/>
      <c r="EZ39" s="369"/>
      <c r="FA39" s="369"/>
      <c r="FB39" s="369"/>
      <c r="FC39" s="369"/>
      <c r="FD39" s="369"/>
      <c r="FE39" s="370"/>
    </row>
    <row r="40" spans="1:161" ht="13.5" customHeight="1" thickBot="1" x14ac:dyDescent="0.25">
      <c r="A40" s="358"/>
      <c r="B40" s="333"/>
      <c r="C40" s="333"/>
      <c r="D40" s="333"/>
      <c r="E40" s="333"/>
      <c r="F40" s="333"/>
      <c r="G40" s="333"/>
      <c r="H40" s="359"/>
      <c r="I40" s="374"/>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75"/>
      <c r="CL40" s="375"/>
      <c r="CM40" s="375"/>
      <c r="CN40" s="364"/>
      <c r="CO40" s="365"/>
      <c r="CP40" s="365"/>
      <c r="CQ40" s="365"/>
      <c r="CR40" s="365"/>
      <c r="CS40" s="365"/>
      <c r="CT40" s="365"/>
      <c r="CU40" s="366"/>
      <c r="CV40" s="367"/>
      <c r="CW40" s="365"/>
      <c r="CX40" s="365"/>
      <c r="CY40" s="365"/>
      <c r="CZ40" s="365"/>
      <c r="DA40" s="365"/>
      <c r="DB40" s="365"/>
      <c r="DC40" s="365"/>
      <c r="DD40" s="365"/>
      <c r="DE40" s="366"/>
      <c r="DF40" s="367"/>
      <c r="DG40" s="365"/>
      <c r="DH40" s="365"/>
      <c r="DI40" s="365"/>
      <c r="DJ40" s="365"/>
      <c r="DK40" s="365"/>
      <c r="DL40" s="365"/>
      <c r="DM40" s="365"/>
      <c r="DN40" s="365"/>
      <c r="DO40" s="365"/>
      <c r="DP40" s="365"/>
      <c r="DQ40" s="365"/>
      <c r="DR40" s="366"/>
      <c r="DS40" s="371"/>
      <c r="DT40" s="372"/>
      <c r="DU40" s="372"/>
      <c r="DV40" s="372"/>
      <c r="DW40" s="372"/>
      <c r="DX40" s="372"/>
      <c r="DY40" s="372"/>
      <c r="DZ40" s="372"/>
      <c r="EA40" s="372"/>
      <c r="EB40" s="372"/>
      <c r="EC40" s="372"/>
      <c r="ED40" s="372"/>
      <c r="EE40" s="373"/>
      <c r="EF40" s="371"/>
      <c r="EG40" s="372"/>
      <c r="EH40" s="372"/>
      <c r="EI40" s="372"/>
      <c r="EJ40" s="372"/>
      <c r="EK40" s="372"/>
      <c r="EL40" s="372"/>
      <c r="EM40" s="372"/>
      <c r="EN40" s="372"/>
      <c r="EO40" s="372"/>
      <c r="EP40" s="372"/>
      <c r="EQ40" s="372"/>
      <c r="ER40" s="373"/>
      <c r="ES40" s="371"/>
      <c r="ET40" s="372"/>
      <c r="EU40" s="372"/>
      <c r="EV40" s="372"/>
      <c r="EW40" s="372"/>
      <c r="EX40" s="372"/>
      <c r="EY40" s="372"/>
      <c r="EZ40" s="372"/>
      <c r="FA40" s="372"/>
      <c r="FB40" s="372"/>
      <c r="FC40" s="372"/>
      <c r="FD40" s="372"/>
      <c r="FE40" s="373"/>
    </row>
    <row r="42" spans="1:161" x14ac:dyDescent="0.2">
      <c r="I42" s="89" t="s">
        <v>225</v>
      </c>
    </row>
    <row r="43" spans="1:161" x14ac:dyDescent="0.2">
      <c r="I43" s="89" t="s">
        <v>226</v>
      </c>
      <c r="AQ43" s="337" t="s">
        <v>398</v>
      </c>
      <c r="AR43" s="337"/>
      <c r="AS43" s="337"/>
      <c r="AT43" s="337"/>
      <c r="AU43" s="337"/>
      <c r="AV43" s="337"/>
      <c r="AW43" s="337"/>
      <c r="AX43" s="337"/>
      <c r="AY43" s="337"/>
      <c r="AZ43" s="337"/>
      <c r="BA43" s="337"/>
      <c r="BB43" s="337"/>
      <c r="BC43" s="337"/>
      <c r="BD43" s="337"/>
      <c r="BE43" s="337"/>
      <c r="BF43" s="337"/>
      <c r="BG43" s="337"/>
      <c r="BH43" s="337"/>
      <c r="BK43" s="337"/>
      <c r="BL43" s="337"/>
      <c r="BM43" s="337"/>
      <c r="BN43" s="337"/>
      <c r="BO43" s="337"/>
      <c r="BP43" s="337"/>
      <c r="BQ43" s="337"/>
      <c r="BR43" s="337"/>
      <c r="BS43" s="337"/>
      <c r="BT43" s="337"/>
      <c r="BU43" s="337"/>
      <c r="BV43" s="337"/>
      <c r="BY43" s="337" t="s">
        <v>399</v>
      </c>
      <c r="BZ43" s="337"/>
      <c r="CA43" s="337"/>
      <c r="CB43" s="337"/>
      <c r="CC43" s="337"/>
      <c r="CD43" s="337"/>
      <c r="CE43" s="337"/>
      <c r="CF43" s="337"/>
      <c r="CG43" s="337"/>
      <c r="CH43" s="337"/>
      <c r="CI43" s="337"/>
      <c r="CJ43" s="337"/>
      <c r="CK43" s="337"/>
      <c r="CL43" s="337"/>
      <c r="CM43" s="337"/>
      <c r="CN43" s="337"/>
      <c r="CO43" s="337"/>
      <c r="CP43" s="337"/>
      <c r="CQ43" s="337"/>
      <c r="CR43" s="337"/>
    </row>
    <row r="44" spans="1:161" s="90" customFormat="1" ht="21" customHeight="1" x14ac:dyDescent="0.15">
      <c r="AQ44" s="340" t="s">
        <v>227</v>
      </c>
      <c r="AR44" s="340"/>
      <c r="AS44" s="340"/>
      <c r="AT44" s="340"/>
      <c r="AU44" s="340"/>
      <c r="AV44" s="340"/>
      <c r="AW44" s="340"/>
      <c r="AX44" s="340"/>
      <c r="AY44" s="340"/>
      <c r="AZ44" s="340"/>
      <c r="BA44" s="340"/>
      <c r="BB44" s="340"/>
      <c r="BC44" s="340"/>
      <c r="BD44" s="340"/>
      <c r="BE44" s="340"/>
      <c r="BF44" s="340"/>
      <c r="BG44" s="340"/>
      <c r="BH44" s="340"/>
      <c r="BK44" s="340" t="s">
        <v>6</v>
      </c>
      <c r="BL44" s="340"/>
      <c r="BM44" s="340"/>
      <c r="BN44" s="340"/>
      <c r="BO44" s="340"/>
      <c r="BP44" s="340"/>
      <c r="BQ44" s="340"/>
      <c r="BR44" s="340"/>
      <c r="BS44" s="340"/>
      <c r="BT44" s="340"/>
      <c r="BU44" s="340"/>
      <c r="BV44" s="340"/>
      <c r="BY44" s="340" t="s">
        <v>11</v>
      </c>
      <c r="BZ44" s="340"/>
      <c r="CA44" s="340"/>
      <c r="CB44" s="340"/>
      <c r="CC44" s="340"/>
      <c r="CD44" s="340"/>
      <c r="CE44" s="340"/>
      <c r="CF44" s="340"/>
      <c r="CG44" s="340"/>
      <c r="CH44" s="340"/>
      <c r="CI44" s="340"/>
      <c r="CJ44" s="340"/>
      <c r="CK44" s="340"/>
      <c r="CL44" s="340"/>
      <c r="CM44" s="340"/>
      <c r="CN44" s="340"/>
      <c r="CO44" s="340"/>
      <c r="CP44" s="340"/>
      <c r="CQ44" s="340"/>
      <c r="CR44" s="340"/>
    </row>
    <row r="45" spans="1:161" x14ac:dyDescent="0.2">
      <c r="I45" s="89" t="s">
        <v>249</v>
      </c>
    </row>
    <row r="46" spans="1:161" ht="36" customHeight="1" x14ac:dyDescent="0.2">
      <c r="H46" s="334" t="s">
        <v>250</v>
      </c>
      <c r="I46" s="334"/>
      <c r="J46" s="334"/>
      <c r="K46" s="334"/>
      <c r="L46" s="334"/>
      <c r="M46" s="334"/>
      <c r="N46" s="334"/>
      <c r="O46" s="334"/>
      <c r="P46" s="334"/>
      <c r="Q46" s="334"/>
      <c r="R46" s="334"/>
      <c r="S46" s="334"/>
      <c r="T46" s="334"/>
      <c r="U46" s="334"/>
      <c r="V46" s="334"/>
      <c r="W46" s="334"/>
      <c r="X46" s="334"/>
      <c r="AQ46" s="346" t="s">
        <v>281</v>
      </c>
      <c r="AR46" s="346"/>
      <c r="AS46" s="346"/>
      <c r="AT46" s="346"/>
      <c r="AU46" s="346"/>
      <c r="AV46" s="346"/>
      <c r="AW46" s="346"/>
      <c r="AX46" s="346"/>
      <c r="AY46" s="346"/>
      <c r="AZ46" s="346"/>
      <c r="BA46" s="346"/>
      <c r="BB46" s="346"/>
      <c r="BC46" s="346"/>
      <c r="BD46" s="346"/>
      <c r="BE46" s="346"/>
      <c r="BF46" s="346"/>
      <c r="BG46" s="346"/>
      <c r="BH46" s="346"/>
      <c r="BK46" s="337"/>
      <c r="BL46" s="337"/>
      <c r="BM46" s="337"/>
      <c r="BN46" s="337"/>
      <c r="BO46" s="337"/>
      <c r="BP46" s="337"/>
      <c r="BQ46" s="337"/>
      <c r="BR46" s="337"/>
      <c r="BS46" s="337"/>
      <c r="BT46" s="337"/>
      <c r="BU46" s="337"/>
      <c r="BV46" s="337"/>
      <c r="BY46" s="337" t="s">
        <v>282</v>
      </c>
      <c r="BZ46" s="337"/>
      <c r="CA46" s="337"/>
      <c r="CB46" s="337"/>
      <c r="CC46" s="337"/>
      <c r="CD46" s="337"/>
      <c r="CE46" s="337"/>
      <c r="CF46" s="337"/>
      <c r="CG46" s="337"/>
      <c r="CH46" s="337"/>
      <c r="CI46" s="337"/>
      <c r="CJ46" s="337"/>
      <c r="CK46" s="337"/>
      <c r="CL46" s="337"/>
      <c r="CM46" s="337"/>
      <c r="CN46" s="337"/>
      <c r="CO46" s="337"/>
      <c r="CP46" s="337"/>
      <c r="CQ46" s="337"/>
      <c r="CR46" s="337"/>
    </row>
    <row r="47" spans="1:161" s="90" customFormat="1" ht="12.75" customHeight="1" x14ac:dyDescent="0.15">
      <c r="AQ47" s="340" t="s">
        <v>227</v>
      </c>
      <c r="AR47" s="340"/>
      <c r="AS47" s="340"/>
      <c r="AT47" s="340"/>
      <c r="AU47" s="340"/>
      <c r="AV47" s="340"/>
      <c r="AW47" s="340"/>
      <c r="AX47" s="340"/>
      <c r="AY47" s="340"/>
      <c r="AZ47" s="340"/>
      <c r="BA47" s="340"/>
      <c r="BB47" s="340"/>
      <c r="BC47" s="340"/>
      <c r="BD47" s="340"/>
      <c r="BE47" s="340"/>
      <c r="BF47" s="340"/>
      <c r="BG47" s="340"/>
      <c r="BH47" s="340"/>
      <c r="BK47" s="340" t="s">
        <v>6</v>
      </c>
      <c r="BL47" s="340"/>
      <c r="BM47" s="340"/>
      <c r="BN47" s="340"/>
      <c r="BO47" s="340"/>
      <c r="BP47" s="340"/>
      <c r="BQ47" s="340"/>
      <c r="BR47" s="340"/>
      <c r="BS47" s="340"/>
      <c r="BT47" s="340"/>
      <c r="BU47" s="340"/>
      <c r="BV47" s="340"/>
      <c r="BY47" s="340" t="s">
        <v>11</v>
      </c>
      <c r="BZ47" s="340"/>
      <c r="CA47" s="340"/>
      <c r="CB47" s="340"/>
      <c r="CC47" s="340"/>
      <c r="CD47" s="340"/>
      <c r="CE47" s="340"/>
      <c r="CF47" s="340"/>
      <c r="CG47" s="340"/>
      <c r="CH47" s="340"/>
      <c r="CI47" s="340"/>
      <c r="CJ47" s="340"/>
      <c r="CK47" s="340"/>
      <c r="CL47" s="340"/>
      <c r="CM47" s="340"/>
      <c r="CN47" s="340"/>
      <c r="CO47" s="340"/>
      <c r="CP47" s="340"/>
      <c r="CQ47" s="340"/>
      <c r="CR47" s="340"/>
    </row>
    <row r="48" spans="1:161" s="90" customFormat="1" ht="15" customHeight="1" x14ac:dyDescent="0.15">
      <c r="J48" s="345" t="s">
        <v>248</v>
      </c>
      <c r="K48" s="345"/>
      <c r="L48" s="345"/>
      <c r="M48" s="345"/>
      <c r="N48" s="345"/>
      <c r="O48" s="345"/>
      <c r="P48" s="345"/>
      <c r="Q48" s="345"/>
      <c r="R48" s="345"/>
      <c r="S48" s="345"/>
      <c r="T48" s="345"/>
      <c r="U48" s="345"/>
      <c r="V48" s="345"/>
      <c r="W48" s="345"/>
      <c r="AQ48" s="104"/>
      <c r="AR48" s="104"/>
      <c r="AS48" s="104"/>
      <c r="AT48" s="104"/>
      <c r="AU48" s="104"/>
      <c r="AV48" s="104"/>
      <c r="AW48" s="104"/>
      <c r="AX48" s="104"/>
      <c r="AY48" s="104"/>
      <c r="AZ48" s="104"/>
      <c r="BA48" s="104"/>
      <c r="BB48" s="104"/>
      <c r="BC48" s="104"/>
      <c r="BD48" s="104"/>
      <c r="BE48" s="104"/>
      <c r="BF48" s="104"/>
      <c r="BG48" s="104"/>
      <c r="BH48" s="104"/>
      <c r="BK48" s="104"/>
      <c r="BL48" s="104"/>
      <c r="BM48" s="104"/>
      <c r="BN48" s="104"/>
      <c r="BO48" s="104"/>
      <c r="BP48" s="104"/>
      <c r="BQ48" s="104"/>
      <c r="BR48" s="104"/>
      <c r="BS48" s="104"/>
      <c r="BT48" s="104"/>
      <c r="BU48" s="104"/>
      <c r="BV48" s="104"/>
      <c r="BY48" s="104"/>
      <c r="BZ48" s="104"/>
      <c r="CA48" s="104"/>
      <c r="CB48" s="104"/>
      <c r="CC48" s="104"/>
      <c r="CD48" s="104"/>
      <c r="CE48" s="104"/>
      <c r="CF48" s="104"/>
      <c r="CG48" s="104"/>
      <c r="CH48" s="104"/>
      <c r="CI48" s="104"/>
      <c r="CJ48" s="104"/>
      <c r="CK48" s="104"/>
      <c r="CL48" s="104"/>
      <c r="CM48" s="104"/>
      <c r="CN48" s="104"/>
      <c r="CO48" s="104"/>
      <c r="CP48" s="104"/>
      <c r="CQ48" s="104"/>
      <c r="CR48" s="104"/>
    </row>
    <row r="49" spans="1:96" s="90" customFormat="1" ht="13.5" customHeight="1" x14ac:dyDescent="0.15">
      <c r="AQ49" s="104"/>
      <c r="AR49" s="104"/>
      <c r="AS49" s="104"/>
      <c r="AT49" s="104"/>
      <c r="AU49" s="104"/>
      <c r="AV49" s="104"/>
      <c r="AW49" s="104"/>
      <c r="AX49" s="104"/>
      <c r="AY49" s="104"/>
      <c r="AZ49" s="104"/>
      <c r="BA49" s="104"/>
      <c r="BB49" s="104"/>
      <c r="BC49" s="104"/>
      <c r="BD49" s="104"/>
      <c r="BE49" s="104"/>
      <c r="BF49" s="104"/>
      <c r="BG49" s="104"/>
      <c r="BH49" s="104"/>
      <c r="BK49" s="104"/>
      <c r="BL49" s="104"/>
      <c r="BM49" s="104"/>
      <c r="BN49" s="104"/>
      <c r="BO49" s="104"/>
      <c r="BP49" s="104"/>
      <c r="BQ49" s="104"/>
      <c r="BR49" s="104"/>
      <c r="BS49" s="104"/>
      <c r="BT49" s="104"/>
      <c r="BU49" s="104"/>
      <c r="BV49" s="104"/>
      <c r="BY49" s="104"/>
      <c r="BZ49" s="104"/>
      <c r="CA49" s="104"/>
      <c r="CB49" s="104"/>
      <c r="CC49" s="104"/>
      <c r="CD49" s="104"/>
      <c r="CE49" s="104"/>
      <c r="CF49" s="104"/>
      <c r="CG49" s="104"/>
      <c r="CH49" s="104"/>
      <c r="CI49" s="104"/>
      <c r="CJ49" s="104"/>
      <c r="CK49" s="104"/>
      <c r="CL49" s="104"/>
      <c r="CM49" s="104"/>
      <c r="CN49" s="104"/>
      <c r="CO49" s="104"/>
      <c r="CP49" s="104"/>
      <c r="CQ49" s="104"/>
      <c r="CR49" s="104"/>
    </row>
    <row r="50" spans="1:96" ht="44.25" customHeight="1" x14ac:dyDescent="0.2">
      <c r="I50" s="89" t="s">
        <v>228</v>
      </c>
      <c r="AM50" s="346" t="s">
        <v>281</v>
      </c>
      <c r="AN50" s="346"/>
      <c r="AO50" s="346"/>
      <c r="AP50" s="346"/>
      <c r="AQ50" s="346"/>
      <c r="AR50" s="346"/>
      <c r="AS50" s="346"/>
      <c r="AT50" s="346"/>
      <c r="AU50" s="346"/>
      <c r="AV50" s="346"/>
      <c r="AW50" s="346"/>
      <c r="AX50" s="346"/>
      <c r="AY50" s="346"/>
      <c r="AZ50" s="346"/>
      <c r="BA50" s="346"/>
      <c r="BB50" s="346"/>
      <c r="BC50" s="346"/>
      <c r="BD50" s="346"/>
      <c r="BG50" s="337"/>
      <c r="BH50" s="337"/>
      <c r="BI50" s="337"/>
      <c r="BJ50" s="337"/>
      <c r="BK50" s="337"/>
      <c r="BL50" s="337"/>
      <c r="BM50" s="337"/>
      <c r="BN50" s="337"/>
      <c r="BO50" s="337"/>
      <c r="BP50" s="337"/>
      <c r="BQ50" s="337"/>
      <c r="BR50" s="337"/>
      <c r="BS50" s="337"/>
      <c r="BT50" s="337"/>
      <c r="BU50" s="337"/>
      <c r="BV50" s="337"/>
      <c r="BW50" s="337"/>
      <c r="BX50" s="337"/>
      <c r="CA50" s="333" t="str">
        <f>$BY$46</f>
        <v>Лабутина Е.М.</v>
      </c>
      <c r="CB50" s="333"/>
      <c r="CC50" s="333"/>
      <c r="CD50" s="333"/>
      <c r="CE50" s="333"/>
      <c r="CF50" s="333"/>
      <c r="CG50" s="333"/>
      <c r="CH50" s="333"/>
      <c r="CI50" s="333"/>
      <c r="CJ50" s="333"/>
      <c r="CK50" s="333"/>
      <c r="CL50" s="333"/>
      <c r="CM50" s="333"/>
      <c r="CN50" s="333"/>
      <c r="CO50" s="333"/>
      <c r="CP50" s="333"/>
      <c r="CQ50" s="333"/>
      <c r="CR50" s="333"/>
    </row>
    <row r="51" spans="1:96" s="90" customFormat="1" ht="8.25" x14ac:dyDescent="0.15">
      <c r="AM51" s="340" t="s">
        <v>227</v>
      </c>
      <c r="AN51" s="340"/>
      <c r="AO51" s="340"/>
      <c r="AP51" s="340"/>
      <c r="AQ51" s="340"/>
      <c r="AR51" s="340"/>
      <c r="AS51" s="340"/>
      <c r="AT51" s="340"/>
      <c r="AU51" s="340"/>
      <c r="AV51" s="340"/>
      <c r="AW51" s="340"/>
      <c r="AX51" s="340"/>
      <c r="AY51" s="340"/>
      <c r="AZ51" s="340"/>
      <c r="BA51" s="340"/>
      <c r="BB51" s="340"/>
      <c r="BC51" s="340"/>
      <c r="BD51" s="340"/>
      <c r="BG51" s="340" t="s">
        <v>229</v>
      </c>
      <c r="BH51" s="340"/>
      <c r="BI51" s="340"/>
      <c r="BJ51" s="340"/>
      <c r="BK51" s="340"/>
      <c r="BL51" s="340"/>
      <c r="BM51" s="340"/>
      <c r="BN51" s="340"/>
      <c r="BO51" s="340"/>
      <c r="BP51" s="340"/>
      <c r="BQ51" s="340"/>
      <c r="BR51" s="340"/>
      <c r="BS51" s="340"/>
      <c r="BT51" s="340"/>
      <c r="BU51" s="340"/>
      <c r="BV51" s="340"/>
      <c r="BW51" s="340"/>
      <c r="BX51" s="340"/>
      <c r="CA51" s="340" t="s">
        <v>230</v>
      </c>
      <c r="CB51" s="340"/>
      <c r="CC51" s="340"/>
      <c r="CD51" s="340"/>
      <c r="CE51" s="340"/>
      <c r="CF51" s="340"/>
      <c r="CG51" s="340"/>
      <c r="CH51" s="340"/>
      <c r="CI51" s="340"/>
      <c r="CJ51" s="340"/>
      <c r="CK51" s="340"/>
      <c r="CL51" s="340"/>
      <c r="CM51" s="340"/>
      <c r="CN51" s="340"/>
      <c r="CO51" s="340"/>
      <c r="CP51" s="340"/>
      <c r="CQ51" s="340"/>
      <c r="CR51" s="340"/>
    </row>
    <row r="52" spans="1:96" s="90" customFormat="1" ht="11.25" customHeight="1" x14ac:dyDescent="0.15">
      <c r="J52" s="105"/>
      <c r="K52" s="105"/>
      <c r="L52" s="105"/>
      <c r="M52" s="105"/>
      <c r="N52" s="105"/>
      <c r="O52" s="105"/>
      <c r="P52" s="105"/>
      <c r="Q52" s="105"/>
      <c r="R52" s="105"/>
      <c r="S52" s="105"/>
      <c r="T52" s="105"/>
      <c r="U52" s="105"/>
      <c r="V52" s="105"/>
      <c r="W52" s="105"/>
      <c r="AM52" s="91"/>
      <c r="AN52" s="91"/>
      <c r="AO52" s="91"/>
      <c r="AP52" s="91"/>
      <c r="AQ52" s="91"/>
      <c r="AR52" s="91"/>
      <c r="AS52" s="91"/>
      <c r="AT52" s="91"/>
      <c r="AU52" s="91"/>
      <c r="AV52" s="91"/>
      <c r="AW52" s="91"/>
      <c r="AX52" s="91"/>
      <c r="AY52" s="91"/>
      <c r="AZ52" s="91"/>
      <c r="BA52" s="91"/>
      <c r="BB52" s="91"/>
      <c r="BC52" s="91"/>
      <c r="BD52" s="91"/>
      <c r="BG52" s="91"/>
      <c r="BH52" s="91"/>
      <c r="BI52" s="91"/>
      <c r="BJ52" s="91"/>
      <c r="BK52" s="91"/>
      <c r="BL52" s="91"/>
      <c r="BM52" s="91"/>
      <c r="BN52" s="91"/>
      <c r="BO52" s="91"/>
      <c r="BP52" s="91"/>
      <c r="BQ52" s="91"/>
      <c r="BR52" s="91"/>
      <c r="BS52" s="91"/>
      <c r="BT52" s="91"/>
      <c r="BU52" s="91"/>
      <c r="BV52" s="91"/>
      <c r="BW52" s="91"/>
      <c r="BX52" s="91"/>
      <c r="CA52" s="91"/>
      <c r="CB52" s="91"/>
      <c r="CC52" s="91"/>
      <c r="CD52" s="91"/>
      <c r="CE52" s="91"/>
      <c r="CF52" s="91"/>
      <c r="CG52" s="91"/>
      <c r="CH52" s="91"/>
      <c r="CI52" s="91"/>
      <c r="CJ52" s="91"/>
      <c r="CK52" s="91"/>
      <c r="CL52" s="91"/>
      <c r="CM52" s="91"/>
      <c r="CN52" s="91"/>
      <c r="CO52" s="91"/>
      <c r="CP52" s="91"/>
      <c r="CQ52" s="91"/>
      <c r="CR52" s="91"/>
    </row>
    <row r="53" spans="1:96" s="90" customFormat="1" ht="15" customHeight="1" x14ac:dyDescent="0.15">
      <c r="AM53" s="91"/>
      <c r="AN53" s="91"/>
      <c r="AO53" s="91"/>
      <c r="AP53" s="91"/>
      <c r="AQ53" s="91"/>
      <c r="AR53" s="91"/>
      <c r="AS53" s="91"/>
      <c r="AT53" s="91"/>
      <c r="AU53" s="91"/>
      <c r="AV53" s="91"/>
      <c r="AW53" s="91"/>
      <c r="AX53" s="91"/>
      <c r="AY53" s="91"/>
      <c r="AZ53" s="91"/>
      <c r="BA53" s="91"/>
      <c r="BB53" s="91"/>
      <c r="BC53" s="91"/>
      <c r="BD53" s="91"/>
      <c r="BG53" s="91"/>
      <c r="BH53" s="91"/>
      <c r="BI53" s="91"/>
      <c r="BJ53" s="91"/>
      <c r="BK53" s="91"/>
      <c r="BL53" s="91"/>
      <c r="BM53" s="91"/>
      <c r="BN53" s="91"/>
      <c r="BO53" s="91"/>
      <c r="BP53" s="91"/>
      <c r="BQ53" s="91"/>
      <c r="BR53" s="91"/>
      <c r="BS53" s="91"/>
      <c r="BT53" s="91"/>
      <c r="BU53" s="91"/>
      <c r="BV53" s="91"/>
      <c r="BW53" s="91"/>
      <c r="BX53" s="91"/>
      <c r="CA53" s="91"/>
      <c r="CB53" s="91"/>
      <c r="CC53" s="91"/>
      <c r="CD53" s="91"/>
      <c r="CE53" s="91"/>
      <c r="CF53" s="91"/>
      <c r="CG53" s="91"/>
      <c r="CH53" s="91"/>
      <c r="CI53" s="91"/>
      <c r="CJ53" s="91"/>
      <c r="CK53" s="91"/>
      <c r="CL53" s="91"/>
      <c r="CM53" s="91"/>
      <c r="CN53" s="91"/>
      <c r="CO53" s="91"/>
      <c r="CP53" s="91"/>
      <c r="CQ53" s="91"/>
      <c r="CR53" s="91"/>
    </row>
    <row r="54" spans="1:96" x14ac:dyDescent="0.2">
      <c r="I54" s="332" t="s">
        <v>231</v>
      </c>
      <c r="J54" s="332"/>
      <c r="K54" s="333"/>
      <c r="L54" s="333"/>
      <c r="M54" s="333"/>
      <c r="N54" s="334" t="s">
        <v>231</v>
      </c>
      <c r="O54" s="334"/>
      <c r="Q54" s="333"/>
      <c r="R54" s="333"/>
      <c r="S54" s="333"/>
      <c r="T54" s="333"/>
      <c r="U54" s="333"/>
      <c r="V54" s="333"/>
      <c r="W54" s="333"/>
      <c r="X54" s="333"/>
      <c r="Y54" s="333"/>
      <c r="Z54" s="333"/>
      <c r="AA54" s="333"/>
      <c r="AB54" s="333"/>
      <c r="AC54" s="333"/>
      <c r="AD54" s="333"/>
      <c r="AE54" s="333"/>
      <c r="AF54" s="332">
        <v>20</v>
      </c>
      <c r="AG54" s="332"/>
      <c r="AH54" s="332"/>
      <c r="AI54" s="335"/>
      <c r="AJ54" s="335"/>
      <c r="AK54" s="335"/>
      <c r="AL54" s="89" t="s">
        <v>166</v>
      </c>
    </row>
    <row r="55" spans="1:96" ht="12" thickBot="1" x14ac:dyDescent="0.25"/>
    <row r="56" spans="1:96" ht="3" customHeight="1" x14ac:dyDescent="0.2">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3"/>
    </row>
    <row r="57" spans="1:96" x14ac:dyDescent="0.2">
      <c r="A57" s="94" t="s">
        <v>232</v>
      </c>
      <c r="CM57" s="95"/>
    </row>
    <row r="58" spans="1:96" x14ac:dyDescent="0.2">
      <c r="A58" s="336"/>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8"/>
    </row>
    <row r="59" spans="1:96" s="90" customFormat="1" ht="8.25" x14ac:dyDescent="0.15">
      <c r="A59" s="339" t="s">
        <v>233</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0"/>
      <c r="BR59" s="340"/>
      <c r="BS59" s="340"/>
      <c r="BT59" s="340"/>
      <c r="BU59" s="340"/>
      <c r="BV59" s="340"/>
      <c r="BW59" s="340"/>
      <c r="BX59" s="340"/>
      <c r="BY59" s="340"/>
      <c r="BZ59" s="340"/>
      <c r="CA59" s="340"/>
      <c r="CB59" s="340"/>
      <c r="CC59" s="340"/>
      <c r="CD59" s="340"/>
      <c r="CE59" s="340"/>
      <c r="CF59" s="340"/>
      <c r="CG59" s="340"/>
      <c r="CH59" s="340"/>
      <c r="CI59" s="340"/>
      <c r="CJ59" s="340"/>
      <c r="CK59" s="340"/>
      <c r="CL59" s="340"/>
      <c r="CM59" s="341"/>
    </row>
    <row r="60" spans="1:96" s="90" customFormat="1" ht="6" customHeight="1" x14ac:dyDescent="0.15">
      <c r="A60" s="96"/>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7"/>
    </row>
    <row r="61" spans="1:96" x14ac:dyDescent="0.2">
      <c r="A61" s="336"/>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7"/>
      <c r="BN61" s="337"/>
      <c r="BO61" s="337"/>
      <c r="BP61" s="337"/>
      <c r="BQ61" s="337"/>
      <c r="BR61" s="337"/>
      <c r="BS61" s="337"/>
      <c r="BT61" s="337"/>
      <c r="BU61" s="337"/>
      <c r="BV61" s="337"/>
      <c r="BW61" s="337"/>
      <c r="BX61" s="337"/>
      <c r="BY61" s="337"/>
      <c r="BZ61" s="337"/>
      <c r="CA61" s="337"/>
      <c r="CB61" s="337"/>
      <c r="CC61" s="337"/>
      <c r="CD61" s="337"/>
      <c r="CE61" s="337"/>
      <c r="CF61" s="337"/>
      <c r="CG61" s="337"/>
      <c r="CH61" s="337"/>
      <c r="CI61" s="337"/>
      <c r="CJ61" s="337"/>
      <c r="CK61" s="337"/>
      <c r="CL61" s="337"/>
      <c r="CM61" s="338"/>
    </row>
    <row r="62" spans="1:96" s="90" customFormat="1" ht="8.25" x14ac:dyDescent="0.15">
      <c r="A62" s="339" t="s">
        <v>6</v>
      </c>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AH62" s="340" t="s">
        <v>11</v>
      </c>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0"/>
      <c r="CG62" s="340"/>
      <c r="CH62" s="340"/>
      <c r="CI62" s="340"/>
      <c r="CJ62" s="340"/>
      <c r="CK62" s="340"/>
      <c r="CL62" s="340"/>
      <c r="CM62" s="341"/>
    </row>
    <row r="63" spans="1:96" x14ac:dyDescent="0.2">
      <c r="A63" s="94"/>
      <c r="CM63" s="95"/>
    </row>
    <row r="64" spans="1:96" x14ac:dyDescent="0.2">
      <c r="A64" s="331" t="s">
        <v>231</v>
      </c>
      <c r="B64" s="332"/>
      <c r="C64" s="333"/>
      <c r="D64" s="333"/>
      <c r="E64" s="333"/>
      <c r="F64" s="334" t="s">
        <v>231</v>
      </c>
      <c r="G64" s="334"/>
      <c r="I64" s="333"/>
      <c r="J64" s="333"/>
      <c r="K64" s="333"/>
      <c r="L64" s="333"/>
      <c r="M64" s="333"/>
      <c r="N64" s="333"/>
      <c r="O64" s="333"/>
      <c r="P64" s="333"/>
      <c r="Q64" s="333"/>
      <c r="R64" s="333"/>
      <c r="S64" s="333"/>
      <c r="T64" s="333"/>
      <c r="U64" s="333"/>
      <c r="V64" s="333"/>
      <c r="W64" s="333"/>
      <c r="X64" s="332">
        <v>20</v>
      </c>
      <c r="Y64" s="332"/>
      <c r="Z64" s="332"/>
      <c r="AA64" s="335"/>
      <c r="AB64" s="335"/>
      <c r="AC64" s="335"/>
      <c r="AD64" s="89" t="s">
        <v>166</v>
      </c>
      <c r="CM64" s="95"/>
    </row>
    <row r="65" spans="1:161" ht="3" customHeight="1" thickBot="1" x14ac:dyDescent="0.25">
      <c r="A65" s="98"/>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100"/>
    </row>
    <row r="66" spans="1:161" x14ac:dyDescent="0.2">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row>
    <row r="67" spans="1:161" s="70" customFormat="1" ht="18" customHeight="1" x14ac:dyDescent="0.2">
      <c r="A67" s="69" t="s">
        <v>234</v>
      </c>
    </row>
    <row r="68" spans="1:161" s="70" customFormat="1" ht="40.5" customHeight="1" x14ac:dyDescent="0.2">
      <c r="A68" s="342" t="s">
        <v>235</v>
      </c>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343"/>
      <c r="BA68" s="343"/>
      <c r="BB68" s="343"/>
      <c r="BC68" s="343"/>
      <c r="BD68" s="343"/>
      <c r="BE68" s="343"/>
      <c r="BF68" s="343"/>
      <c r="BG68" s="343"/>
      <c r="BH68" s="343"/>
      <c r="BI68" s="343"/>
      <c r="BJ68" s="343"/>
      <c r="BK68" s="343"/>
      <c r="BL68" s="343"/>
      <c r="BM68" s="343"/>
      <c r="BN68" s="343"/>
      <c r="BO68" s="343"/>
      <c r="BP68" s="343"/>
      <c r="BQ68" s="343"/>
      <c r="BR68" s="343"/>
      <c r="BS68" s="343"/>
      <c r="BT68" s="343"/>
      <c r="BU68" s="343"/>
      <c r="BV68" s="343"/>
      <c r="BW68" s="343"/>
      <c r="BX68" s="343"/>
      <c r="BY68" s="343"/>
      <c r="BZ68" s="343"/>
      <c r="CA68" s="343"/>
      <c r="CB68" s="343"/>
      <c r="CC68" s="343"/>
      <c r="CD68" s="343"/>
      <c r="CE68" s="343"/>
      <c r="CF68" s="343"/>
      <c r="CG68" s="343"/>
      <c r="CH68" s="343"/>
      <c r="CI68" s="343"/>
      <c r="CJ68" s="343"/>
      <c r="CK68" s="343"/>
      <c r="CL68" s="343"/>
      <c r="CM68" s="343"/>
      <c r="CN68" s="343"/>
      <c r="CO68" s="343"/>
      <c r="CP68" s="343"/>
      <c r="CQ68" s="343"/>
      <c r="CR68" s="343"/>
      <c r="CS68" s="343"/>
      <c r="CT68" s="343"/>
      <c r="CU68" s="343"/>
      <c r="CV68" s="343"/>
      <c r="CW68" s="343"/>
      <c r="CX68" s="343"/>
      <c r="CY68" s="343"/>
      <c r="CZ68" s="343"/>
      <c r="DA68" s="343"/>
      <c r="DB68" s="343"/>
      <c r="DC68" s="343"/>
      <c r="DD68" s="343"/>
      <c r="DE68" s="343"/>
      <c r="DF68" s="343"/>
      <c r="DG68" s="343"/>
      <c r="DH68" s="343"/>
      <c r="DI68" s="343"/>
      <c r="DJ68" s="343"/>
      <c r="DK68" s="343"/>
      <c r="DL68" s="343"/>
      <c r="DM68" s="343"/>
      <c r="DN68" s="343"/>
      <c r="DO68" s="343"/>
      <c r="DP68" s="343"/>
      <c r="DQ68" s="343"/>
      <c r="DR68" s="343"/>
      <c r="DS68" s="343"/>
      <c r="DT68" s="343"/>
      <c r="DU68" s="343"/>
      <c r="DV68" s="343"/>
      <c r="DW68" s="343"/>
      <c r="DX68" s="343"/>
      <c r="DY68" s="343"/>
      <c r="DZ68" s="343"/>
      <c r="EA68" s="343"/>
      <c r="EB68" s="343"/>
      <c r="EC68" s="343"/>
      <c r="ED68" s="343"/>
      <c r="EE68" s="343"/>
      <c r="EF68" s="343"/>
      <c r="EG68" s="343"/>
      <c r="EH68" s="343"/>
      <c r="EI68" s="343"/>
      <c r="EJ68" s="343"/>
      <c r="EK68" s="343"/>
      <c r="EL68" s="343"/>
      <c r="EM68" s="343"/>
      <c r="EN68" s="343"/>
      <c r="EO68" s="343"/>
      <c r="EP68" s="343"/>
      <c r="EQ68" s="343"/>
      <c r="ER68" s="343"/>
      <c r="ES68" s="343"/>
      <c r="ET68" s="343"/>
      <c r="EU68" s="343"/>
      <c r="EV68" s="343"/>
      <c r="EW68" s="343"/>
      <c r="EX68" s="343"/>
      <c r="EY68" s="343"/>
      <c r="EZ68" s="343"/>
      <c r="FA68" s="343"/>
      <c r="FB68" s="343"/>
      <c r="FC68" s="343"/>
      <c r="FD68" s="343"/>
      <c r="FE68" s="343"/>
    </row>
    <row r="69" spans="1:161" s="70" customFormat="1" ht="21" customHeight="1" x14ac:dyDescent="0.2">
      <c r="A69" s="344" t="s">
        <v>236</v>
      </c>
      <c r="B69" s="344"/>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c r="BP69" s="344"/>
      <c r="BQ69" s="344"/>
      <c r="BR69" s="344"/>
      <c r="BS69" s="344"/>
      <c r="BT69" s="344"/>
      <c r="BU69" s="344"/>
      <c r="BV69" s="344"/>
      <c r="BW69" s="344"/>
      <c r="BX69" s="344"/>
      <c r="BY69" s="344"/>
      <c r="BZ69" s="344"/>
      <c r="CA69" s="344"/>
      <c r="CB69" s="344"/>
      <c r="CC69" s="344"/>
      <c r="CD69" s="344"/>
      <c r="CE69" s="344"/>
      <c r="CF69" s="344"/>
      <c r="CG69" s="344"/>
      <c r="CH69" s="344"/>
      <c r="CI69" s="344"/>
      <c r="CJ69" s="344"/>
      <c r="CK69" s="344"/>
      <c r="CL69" s="344"/>
      <c r="CM69" s="344"/>
      <c r="CN69" s="344"/>
      <c r="CO69" s="344"/>
      <c r="CP69" s="344"/>
      <c r="CQ69" s="344"/>
      <c r="CR69" s="344"/>
      <c r="CS69" s="344"/>
      <c r="CT69" s="344"/>
      <c r="CU69" s="344"/>
      <c r="CV69" s="344"/>
      <c r="CW69" s="344"/>
      <c r="CX69" s="344"/>
      <c r="CY69" s="344"/>
      <c r="CZ69" s="344"/>
      <c r="DA69" s="344"/>
      <c r="DB69" s="344"/>
      <c r="DC69" s="344"/>
      <c r="DD69" s="344"/>
      <c r="DE69" s="344"/>
      <c r="DF69" s="344"/>
      <c r="DG69" s="344"/>
      <c r="DH69" s="344"/>
      <c r="DI69" s="344"/>
      <c r="DJ69" s="344"/>
      <c r="DK69" s="344"/>
      <c r="DL69" s="344"/>
      <c r="DM69" s="344"/>
      <c r="DN69" s="344"/>
      <c r="DO69" s="344"/>
      <c r="DP69" s="344"/>
      <c r="DQ69" s="344"/>
      <c r="DR69" s="344"/>
      <c r="DS69" s="344"/>
      <c r="DT69" s="344"/>
      <c r="DU69" s="344"/>
      <c r="DV69" s="344"/>
      <c r="DW69" s="344"/>
      <c r="DX69" s="344"/>
      <c r="DY69" s="344"/>
      <c r="DZ69" s="344"/>
      <c r="EA69" s="344"/>
      <c r="EB69" s="344"/>
      <c r="EC69" s="344"/>
      <c r="ED69" s="344"/>
      <c r="EE69" s="344"/>
      <c r="EF69" s="344"/>
      <c r="EG69" s="344"/>
      <c r="EH69" s="344"/>
      <c r="EI69" s="344"/>
      <c r="EJ69" s="344"/>
      <c r="EK69" s="344"/>
      <c r="EL69" s="344"/>
      <c r="EM69" s="344"/>
      <c r="EN69" s="344"/>
      <c r="EO69" s="344"/>
      <c r="EP69" s="344"/>
      <c r="EQ69" s="344"/>
      <c r="ER69" s="344"/>
      <c r="ES69" s="344"/>
      <c r="ET69" s="344"/>
      <c r="EU69" s="344"/>
      <c r="EV69" s="344"/>
      <c r="EW69" s="344"/>
      <c r="EX69" s="344"/>
      <c r="EY69" s="344"/>
      <c r="EZ69" s="344"/>
      <c r="FA69" s="344"/>
      <c r="FB69" s="344"/>
      <c r="FC69" s="344"/>
      <c r="FD69" s="344"/>
      <c r="FE69" s="344"/>
    </row>
    <row r="70" spans="1:161" s="70" customFormat="1" ht="11.25" customHeight="1" x14ac:dyDescent="0.2">
      <c r="A70" s="69" t="s">
        <v>237</v>
      </c>
    </row>
    <row r="71" spans="1:161" s="70" customFormat="1" ht="11.25" customHeight="1" x14ac:dyDescent="0.2">
      <c r="A71" s="69" t="s">
        <v>238</v>
      </c>
    </row>
    <row r="72" spans="1:161" s="70" customFormat="1" ht="11.25" customHeight="1" x14ac:dyDescent="0.2">
      <c r="A72" s="69" t="s">
        <v>239</v>
      </c>
    </row>
    <row r="73" spans="1:161" s="70" customFormat="1" ht="20.25" customHeight="1" x14ac:dyDescent="0.2">
      <c r="A73" s="329" t="s">
        <v>240</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30"/>
      <c r="BY73" s="330"/>
      <c r="BZ73" s="330"/>
      <c r="CA73" s="330"/>
      <c r="CB73" s="330"/>
      <c r="CC73" s="330"/>
      <c r="CD73" s="330"/>
      <c r="CE73" s="330"/>
      <c r="CF73" s="330"/>
      <c r="CG73" s="330"/>
      <c r="CH73" s="330"/>
      <c r="CI73" s="330"/>
      <c r="CJ73" s="330"/>
      <c r="CK73" s="330"/>
      <c r="CL73" s="330"/>
      <c r="CM73" s="330"/>
      <c r="CN73" s="330"/>
      <c r="CO73" s="330"/>
      <c r="CP73" s="330"/>
      <c r="CQ73" s="330"/>
      <c r="CR73" s="330"/>
      <c r="CS73" s="330"/>
      <c r="CT73" s="330"/>
      <c r="CU73" s="330"/>
      <c r="CV73" s="330"/>
      <c r="CW73" s="330"/>
      <c r="CX73" s="330"/>
      <c r="CY73" s="330"/>
      <c r="CZ73" s="330"/>
      <c r="DA73" s="33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c r="EC73" s="330"/>
      <c r="ED73" s="330"/>
      <c r="EE73" s="330"/>
      <c r="EF73" s="330"/>
      <c r="EG73" s="330"/>
      <c r="EH73" s="330"/>
      <c r="EI73" s="330"/>
      <c r="EJ73" s="330"/>
      <c r="EK73" s="330"/>
      <c r="EL73" s="330"/>
      <c r="EM73" s="330"/>
      <c r="EN73" s="330"/>
      <c r="EO73" s="330"/>
      <c r="EP73" s="330"/>
      <c r="EQ73" s="330"/>
      <c r="ER73" s="330"/>
      <c r="ES73" s="330"/>
      <c r="ET73" s="330"/>
      <c r="EU73" s="330"/>
      <c r="EV73" s="330"/>
      <c r="EW73" s="330"/>
      <c r="EX73" s="330"/>
      <c r="EY73" s="330"/>
      <c r="EZ73" s="330"/>
      <c r="FA73" s="330"/>
      <c r="FB73" s="330"/>
      <c r="FC73" s="330"/>
      <c r="FD73" s="330"/>
      <c r="FE73" s="330"/>
    </row>
    <row r="74" spans="1:161" ht="3" customHeight="1" x14ac:dyDescent="0.2"/>
  </sheetData>
  <mergeCells count="319">
    <mergeCell ref="A23:H23"/>
    <mergeCell ref="I23:CM23"/>
    <mergeCell ref="CN23:CU23"/>
    <mergeCell ref="CV23:DE23"/>
    <mergeCell ref="DF23:DR23"/>
    <mergeCell ref="DS23:EE23"/>
    <mergeCell ref="EF23:ER23"/>
    <mergeCell ref="ES23:FE23"/>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DF26:DR26"/>
    <mergeCell ref="DF27:DR27"/>
    <mergeCell ref="DF28:DR28"/>
    <mergeCell ref="DF29:DR29"/>
    <mergeCell ref="DF30:DR30"/>
    <mergeCell ref="DF31:DR31"/>
    <mergeCell ref="DF32:DR32"/>
    <mergeCell ref="DF33:DR33"/>
    <mergeCell ref="DF34:DR34"/>
    <mergeCell ref="DG6:DR6"/>
    <mergeCell ref="DF7:DR7"/>
    <mergeCell ref="DF8:DR8"/>
    <mergeCell ref="DF9:DR9"/>
    <mergeCell ref="DF10:DR10"/>
    <mergeCell ref="DF11:DR11"/>
    <mergeCell ref="DF12:DR12"/>
    <mergeCell ref="DF13:DR13"/>
    <mergeCell ref="DF14:DR14"/>
    <mergeCell ref="A33:H33"/>
    <mergeCell ref="I33:CM33"/>
    <mergeCell ref="CN33:CU33"/>
    <mergeCell ref="CV33:DE33"/>
    <mergeCell ref="DS33:EE33"/>
    <mergeCell ref="EF33:ER33"/>
    <mergeCell ref="ES33:FE33"/>
    <mergeCell ref="CV13:DE13"/>
    <mergeCell ref="A20:H20"/>
    <mergeCell ref="I20:CM20"/>
    <mergeCell ref="CN20:CU20"/>
    <mergeCell ref="CV20:DE20"/>
    <mergeCell ref="DS20:EE20"/>
    <mergeCell ref="EF20:ER20"/>
    <mergeCell ref="ES20:FE20"/>
    <mergeCell ref="A26:H26"/>
    <mergeCell ref="I26:CM26"/>
    <mergeCell ref="CN26:CU26"/>
    <mergeCell ref="CV26:DE26"/>
    <mergeCell ref="DS26:EE26"/>
    <mergeCell ref="EF26:ER26"/>
    <mergeCell ref="ES26:FE26"/>
    <mergeCell ref="A14:H14"/>
    <mergeCell ref="I14:CM14"/>
    <mergeCell ref="ES34:FE34"/>
    <mergeCell ref="ES35:FE35"/>
    <mergeCell ref="ES36:FE37"/>
    <mergeCell ref="A34:H34"/>
    <mergeCell ref="I34:CM34"/>
    <mergeCell ref="CN34:CU34"/>
    <mergeCell ref="CV34:DE34"/>
    <mergeCell ref="DS34:EE34"/>
    <mergeCell ref="EF34:ER34"/>
    <mergeCell ref="A35:H35"/>
    <mergeCell ref="I36:CM37"/>
    <mergeCell ref="DF35:DR35"/>
    <mergeCell ref="DF36:DR37"/>
    <mergeCell ref="ES9:FE9"/>
    <mergeCell ref="ES8:FE8"/>
    <mergeCell ref="ES10:FE10"/>
    <mergeCell ref="EF16:ER16"/>
    <mergeCell ref="ES16:FE16"/>
    <mergeCell ref="ES15:FE15"/>
    <mergeCell ref="ES17:FE17"/>
    <mergeCell ref="EF24:ER24"/>
    <mergeCell ref="A6:H6"/>
    <mergeCell ref="I6:CM6"/>
    <mergeCell ref="CN6:CU6"/>
    <mergeCell ref="CV6:DE6"/>
    <mergeCell ref="DS6:EE6"/>
    <mergeCell ref="EF6:ER6"/>
    <mergeCell ref="ES6:FE6"/>
    <mergeCell ref="A7:H7"/>
    <mergeCell ref="I7:CM7"/>
    <mergeCell ref="CN7:CU7"/>
    <mergeCell ref="CV7:DE7"/>
    <mergeCell ref="DS7:EE7"/>
    <mergeCell ref="EF7:ER7"/>
    <mergeCell ref="ES7:FE7"/>
    <mergeCell ref="A8:H8"/>
    <mergeCell ref="I8:CM8"/>
    <mergeCell ref="B1:FE1"/>
    <mergeCell ref="A3:H5"/>
    <mergeCell ref="I3:CM5"/>
    <mergeCell ref="CN3:CU5"/>
    <mergeCell ref="CV3:DE5"/>
    <mergeCell ref="DS4:DX4"/>
    <mergeCell ref="DY4:EA4"/>
    <mergeCell ref="EB4:EE4"/>
    <mergeCell ref="EF4:EK4"/>
    <mergeCell ref="EY4:FA4"/>
    <mergeCell ref="FB4:FE4"/>
    <mergeCell ref="DS5:EE5"/>
    <mergeCell ref="EF5:ER5"/>
    <mergeCell ref="ES5:FE5"/>
    <mergeCell ref="DS3:FE3"/>
    <mergeCell ref="EL4:EN4"/>
    <mergeCell ref="EO4:ER4"/>
    <mergeCell ref="ES4:EX4"/>
    <mergeCell ref="DF3:DR5"/>
    <mergeCell ref="CN8:CU8"/>
    <mergeCell ref="CV8:DE8"/>
    <mergeCell ref="DS8:EE8"/>
    <mergeCell ref="EF8:ER8"/>
    <mergeCell ref="CN10:CU10"/>
    <mergeCell ref="CV10:DE10"/>
    <mergeCell ref="DS10:EE10"/>
    <mergeCell ref="EF10:ER10"/>
    <mergeCell ref="A9:H9"/>
    <mergeCell ref="I9:CM9"/>
    <mergeCell ref="CN9:CU9"/>
    <mergeCell ref="CV9:DE9"/>
    <mergeCell ref="DS9:EE9"/>
    <mergeCell ref="EF9:ER9"/>
    <mergeCell ref="CN14:CU14"/>
    <mergeCell ref="CV14:DE14"/>
    <mergeCell ref="DS14:EE14"/>
    <mergeCell ref="EF14:ER14"/>
    <mergeCell ref="ES14:FE14"/>
    <mergeCell ref="A10:H10"/>
    <mergeCell ref="I10:CM10"/>
    <mergeCell ref="A11:H11"/>
    <mergeCell ref="I11:CM11"/>
    <mergeCell ref="CN11:CU11"/>
    <mergeCell ref="CV11:DE11"/>
    <mergeCell ref="DS11:EE11"/>
    <mergeCell ref="EF11:ER11"/>
    <mergeCell ref="ES11:FE11"/>
    <mergeCell ref="I12:CM12"/>
    <mergeCell ref="CV12:DE12"/>
    <mergeCell ref="CN12:CU12"/>
    <mergeCell ref="A12:H12"/>
    <mergeCell ref="A13:H13"/>
    <mergeCell ref="I13:CM13"/>
    <mergeCell ref="CN13:CU13"/>
    <mergeCell ref="A15:H15"/>
    <mergeCell ref="I15:CM15"/>
    <mergeCell ref="CN15:CU15"/>
    <mergeCell ref="CV15:DE15"/>
    <mergeCell ref="DS15:EE15"/>
    <mergeCell ref="EF15:ER15"/>
    <mergeCell ref="CN17:CU17"/>
    <mergeCell ref="CV17:DE17"/>
    <mergeCell ref="DS17:EE17"/>
    <mergeCell ref="EF17:ER17"/>
    <mergeCell ref="A16:H16"/>
    <mergeCell ref="I16:CM16"/>
    <mergeCell ref="CN16:CU16"/>
    <mergeCell ref="CV16:DE16"/>
    <mergeCell ref="DS16:EE16"/>
    <mergeCell ref="DF15:DR15"/>
    <mergeCell ref="DF16:DR16"/>
    <mergeCell ref="DF17:DR17"/>
    <mergeCell ref="A18:H18"/>
    <mergeCell ref="I18:CM18"/>
    <mergeCell ref="CN18:CU18"/>
    <mergeCell ref="CV18:DE18"/>
    <mergeCell ref="DS18:EE18"/>
    <mergeCell ref="EF18:ER18"/>
    <mergeCell ref="ES18:FE18"/>
    <mergeCell ref="A17:H17"/>
    <mergeCell ref="I17:CM17"/>
    <mergeCell ref="DF18:DR18"/>
    <mergeCell ref="ES24:FE24"/>
    <mergeCell ref="A19:H19"/>
    <mergeCell ref="I19:CM19"/>
    <mergeCell ref="CN19:CU19"/>
    <mergeCell ref="CV19:DE19"/>
    <mergeCell ref="DS19:EE19"/>
    <mergeCell ref="EF19:ER19"/>
    <mergeCell ref="CN25:CU25"/>
    <mergeCell ref="CV25:DE25"/>
    <mergeCell ref="DS25:EE25"/>
    <mergeCell ref="EF25:ER25"/>
    <mergeCell ref="ES19:FE19"/>
    <mergeCell ref="A24:H24"/>
    <mergeCell ref="I24:CM24"/>
    <mergeCell ref="CN24:CU24"/>
    <mergeCell ref="CV24:DE24"/>
    <mergeCell ref="DS24:EE24"/>
    <mergeCell ref="ES25:FE25"/>
    <mergeCell ref="DF19:DR19"/>
    <mergeCell ref="DF20:DR20"/>
    <mergeCell ref="DF24:DR24"/>
    <mergeCell ref="DF25:DR25"/>
    <mergeCell ref="A21:H21"/>
    <mergeCell ref="I21:CM21"/>
    <mergeCell ref="ES30:FE30"/>
    <mergeCell ref="ES28:FE28"/>
    <mergeCell ref="A30:H30"/>
    <mergeCell ref="I30:CM30"/>
    <mergeCell ref="CN30:CU30"/>
    <mergeCell ref="CV30:DE30"/>
    <mergeCell ref="DS30:EE30"/>
    <mergeCell ref="A25:H25"/>
    <mergeCell ref="I25:CM25"/>
    <mergeCell ref="A27:H27"/>
    <mergeCell ref="I27:CM27"/>
    <mergeCell ref="CN27:CU27"/>
    <mergeCell ref="CV27:DE27"/>
    <mergeCell ref="DS27:EE27"/>
    <mergeCell ref="EF27:ER27"/>
    <mergeCell ref="ES27:FE27"/>
    <mergeCell ref="A29:H29"/>
    <mergeCell ref="I29:CM29"/>
    <mergeCell ref="CV29:DE29"/>
    <mergeCell ref="DS29:EE29"/>
    <mergeCell ref="EF29:ER29"/>
    <mergeCell ref="ES29:FE29"/>
    <mergeCell ref="CN29:CU29"/>
    <mergeCell ref="A28:H28"/>
    <mergeCell ref="ES31:FE31"/>
    <mergeCell ref="A32:H32"/>
    <mergeCell ref="I32:CM32"/>
    <mergeCell ref="CN32:CU32"/>
    <mergeCell ref="CV32:DE32"/>
    <mergeCell ref="DS32:EE32"/>
    <mergeCell ref="EF32:ER32"/>
    <mergeCell ref="ES32:FE32"/>
    <mergeCell ref="A31:H31"/>
    <mergeCell ref="I31:CM31"/>
    <mergeCell ref="DS31:EE31"/>
    <mergeCell ref="EF31:ER31"/>
    <mergeCell ref="I28:CM28"/>
    <mergeCell ref="CN28:CU28"/>
    <mergeCell ref="CV28:DE28"/>
    <mergeCell ref="DS28:EE28"/>
    <mergeCell ref="EF28:ER28"/>
    <mergeCell ref="CN31:CU31"/>
    <mergeCell ref="CV31:DE31"/>
    <mergeCell ref="I35:CM35"/>
    <mergeCell ref="CN35:CU35"/>
    <mergeCell ref="CV35:DE35"/>
    <mergeCell ref="DS35:EE35"/>
    <mergeCell ref="EF35:ER35"/>
    <mergeCell ref="EF30:ER30"/>
    <mergeCell ref="A38:H38"/>
    <mergeCell ref="I38:CM38"/>
    <mergeCell ref="CN38:CU38"/>
    <mergeCell ref="CV38:DE38"/>
    <mergeCell ref="DS38:EE38"/>
    <mergeCell ref="EF38:ER38"/>
    <mergeCell ref="ES38:FE38"/>
    <mergeCell ref="A36:H37"/>
    <mergeCell ref="A39:H40"/>
    <mergeCell ref="I39:CM39"/>
    <mergeCell ref="CN39:CU40"/>
    <mergeCell ref="CV39:DE40"/>
    <mergeCell ref="DS39:EE40"/>
    <mergeCell ref="EF39:ER40"/>
    <mergeCell ref="ES39:FE40"/>
    <mergeCell ref="I40:CM40"/>
    <mergeCell ref="CN36:CU37"/>
    <mergeCell ref="CV36:DE37"/>
    <mergeCell ref="DS36:EE37"/>
    <mergeCell ref="EF36:ER37"/>
    <mergeCell ref="DF38:DR38"/>
    <mergeCell ref="DF39:DR40"/>
    <mergeCell ref="AQ43:BH43"/>
    <mergeCell ref="BK43:BV43"/>
    <mergeCell ref="BY43:CR43"/>
    <mergeCell ref="AQ44:BH44"/>
    <mergeCell ref="BK44:BV44"/>
    <mergeCell ref="BY44:CR44"/>
    <mergeCell ref="AM50:BD50"/>
    <mergeCell ref="BG50:BX50"/>
    <mergeCell ref="CA50:CR50"/>
    <mergeCell ref="AQ46:BH46"/>
    <mergeCell ref="BK46:BV46"/>
    <mergeCell ref="BY46:CR46"/>
    <mergeCell ref="AQ47:BH47"/>
    <mergeCell ref="BK47:BV47"/>
    <mergeCell ref="BY47:CR47"/>
    <mergeCell ref="H46:X46"/>
    <mergeCell ref="A68:FE68"/>
    <mergeCell ref="A69:FE69"/>
    <mergeCell ref="AM51:BD51"/>
    <mergeCell ref="BG51:BX51"/>
    <mergeCell ref="CA51:CR51"/>
    <mergeCell ref="I54:J54"/>
    <mergeCell ref="K54:M54"/>
    <mergeCell ref="N54:O54"/>
    <mergeCell ref="Q54:AE54"/>
    <mergeCell ref="AF54:AH54"/>
    <mergeCell ref="AI54:AK54"/>
    <mergeCell ref="J48:W48"/>
    <mergeCell ref="A73:FE73"/>
    <mergeCell ref="A64:B64"/>
    <mergeCell ref="C64:E64"/>
    <mergeCell ref="F64:G64"/>
    <mergeCell ref="I64:W64"/>
    <mergeCell ref="X64:Z64"/>
    <mergeCell ref="AA64:AC64"/>
    <mergeCell ref="A58:CM58"/>
    <mergeCell ref="A59:CM59"/>
    <mergeCell ref="A61:Y61"/>
    <mergeCell ref="AH61:CM61"/>
    <mergeCell ref="A62:Y62"/>
    <mergeCell ref="AH62:CM62"/>
  </mergeCells>
  <pageMargins left="0.59055118110236227" right="0.51181102362204722" top="0.78740157480314965" bottom="0.31496062992125984" header="0.19685039370078741" footer="0.19685039370078741"/>
  <pageSetup paperSize="9"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15" max="16383" man="1"/>
    <brk id="41" max="16383" man="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ER287"/>
  <sheetViews>
    <sheetView zoomScale="130" zoomScaleNormal="130" zoomScaleSheetLayoutView="140" workbookViewId="0">
      <pane ySplit="12" topLeftCell="A127" activePane="bottomLeft" state="frozen"/>
      <selection activeCell="EF25" sqref="EF25:ER25"/>
      <selection pane="bottomLeft" activeCell="N44" sqref="N44"/>
    </sheetView>
  </sheetViews>
  <sheetFormatPr defaultRowHeight="19.5" customHeight="1" x14ac:dyDescent="0.25"/>
  <cols>
    <col min="1" max="1" width="9.140625" style="7"/>
    <col min="2" max="2" width="6.42578125" style="7" customWidth="1"/>
    <col min="3" max="3" width="8.85546875" style="7" customWidth="1"/>
    <col min="4" max="4" width="9.140625" style="7" customWidth="1"/>
    <col min="5" max="5" width="7.140625" style="7" customWidth="1"/>
    <col min="6" max="6" width="13.42578125" style="7" customWidth="1"/>
    <col min="7" max="7" width="11.28515625" style="7" customWidth="1"/>
    <col min="8" max="8" width="13.140625" style="7" customWidth="1"/>
    <col min="9" max="9" width="13.85546875" style="7" customWidth="1"/>
    <col min="10" max="10" width="12.28515625" style="7" customWidth="1"/>
    <col min="11" max="11" width="13.28515625" style="7" customWidth="1"/>
    <col min="12" max="12" width="14.5703125" style="7" customWidth="1"/>
    <col min="13" max="13" width="15.42578125" style="7" customWidth="1"/>
    <col min="14" max="14" width="14.42578125" style="7" customWidth="1"/>
    <col min="15" max="16" width="14.140625" style="7" customWidth="1"/>
    <col min="17" max="17" width="12.7109375" style="7" customWidth="1"/>
    <col min="18" max="18" width="14" style="7" customWidth="1"/>
    <col min="19" max="19" width="14.140625" style="7" customWidth="1"/>
    <col min="20" max="20" width="16.42578125" style="7" customWidth="1"/>
    <col min="21" max="21" width="16.28515625" style="7" customWidth="1"/>
    <col min="22" max="22" width="15.7109375" style="7" customWidth="1"/>
    <col min="23" max="16384" width="9.140625" style="7"/>
  </cols>
  <sheetData>
    <row r="1" spans="1:75" ht="19.5" customHeight="1" x14ac:dyDescent="0.25">
      <c r="A1" s="473" t="str">
        <f>'[1]Табл. 1 госзадание'!A1</f>
        <v xml:space="preserve">Таблица 1 </v>
      </c>
      <c r="B1" s="473"/>
      <c r="C1" s="473"/>
      <c r="D1" s="473"/>
      <c r="E1" s="473"/>
      <c r="F1" s="473"/>
      <c r="G1" s="473"/>
      <c r="H1" s="473"/>
      <c r="I1" s="473"/>
      <c r="J1" s="473"/>
      <c r="K1" s="473"/>
      <c r="L1" s="473"/>
      <c r="M1" s="473"/>
      <c r="N1" s="473"/>
      <c r="O1" s="473"/>
      <c r="P1" s="473"/>
    </row>
    <row r="2" spans="1:75" ht="6" customHeight="1" x14ac:dyDescent="0.25">
      <c r="A2" s="473"/>
      <c r="B2" s="473"/>
      <c r="C2" s="473"/>
      <c r="D2" s="473"/>
      <c r="E2" s="473"/>
      <c r="F2" s="473"/>
      <c r="G2" s="473"/>
      <c r="H2" s="473"/>
      <c r="I2" s="473"/>
      <c r="J2" s="473"/>
      <c r="K2" s="473"/>
      <c r="L2" s="473"/>
      <c r="M2" s="473"/>
      <c r="N2" s="473"/>
      <c r="O2" s="473"/>
      <c r="P2" s="473"/>
    </row>
    <row r="3" spans="1:75" ht="20.25" hidden="1" customHeight="1" x14ac:dyDescent="0.25">
      <c r="A3" s="473"/>
      <c r="B3" s="473"/>
      <c r="C3" s="473"/>
      <c r="D3" s="473"/>
      <c r="E3" s="473"/>
      <c r="F3" s="473"/>
      <c r="G3" s="473"/>
      <c r="H3" s="473"/>
      <c r="I3" s="473"/>
      <c r="J3" s="473"/>
      <c r="K3" s="473"/>
      <c r="L3" s="473"/>
      <c r="M3" s="473"/>
      <c r="N3" s="473"/>
      <c r="O3" s="473"/>
      <c r="P3" s="473"/>
    </row>
    <row r="4" spans="1:75" ht="24" hidden="1" customHeight="1" x14ac:dyDescent="0.25">
      <c r="A4" s="473"/>
      <c r="B4" s="473"/>
      <c r="C4" s="473"/>
      <c r="D4" s="473"/>
      <c r="E4" s="473"/>
      <c r="F4" s="473"/>
      <c r="G4" s="473"/>
      <c r="H4" s="473"/>
      <c r="I4" s="473"/>
      <c r="J4" s="473"/>
      <c r="K4" s="473"/>
      <c r="L4" s="473"/>
      <c r="M4" s="473"/>
      <c r="N4" s="473"/>
      <c r="O4" s="473"/>
      <c r="P4" s="473"/>
    </row>
    <row r="5" spans="1:75" ht="57" customHeight="1" thickBot="1" x14ac:dyDescent="0.3">
      <c r="A5" s="474" t="str">
        <f>'[1]Табл. 1 госзадание'!$A$3</f>
        <v>Показатели по поступлениям и выплатам субсидии на финансовое обеспечение выполнения государственного задания на оказание государственных услуг</v>
      </c>
      <c r="B5" s="474"/>
      <c r="C5" s="474"/>
      <c r="D5" s="474"/>
      <c r="E5" s="474"/>
      <c r="F5" s="474"/>
      <c r="G5" s="474"/>
      <c r="H5" s="474"/>
      <c r="I5" s="474"/>
      <c r="J5" s="474"/>
      <c r="K5" s="474"/>
      <c r="L5" s="474"/>
      <c r="M5" s="474"/>
      <c r="N5" s="474"/>
      <c r="O5" s="474"/>
      <c r="P5" s="474"/>
    </row>
    <row r="6" spans="1:75" ht="19.5" customHeight="1" thickBot="1" x14ac:dyDescent="0.3">
      <c r="A6" s="475" t="s">
        <v>2</v>
      </c>
      <c r="B6" s="476"/>
      <c r="C6" s="476"/>
      <c r="D6" s="477"/>
      <c r="E6" s="268" t="s">
        <v>27</v>
      </c>
      <c r="F6" s="268" t="s">
        <v>104</v>
      </c>
      <c r="G6" s="268" t="s">
        <v>103</v>
      </c>
      <c r="H6" s="277" t="s">
        <v>243</v>
      </c>
      <c r="I6" s="278"/>
      <c r="J6" s="278"/>
      <c r="K6" s="278"/>
      <c r="L6" s="278"/>
      <c r="M6" s="278"/>
      <c r="N6" s="278"/>
      <c r="O6" s="278"/>
      <c r="P6" s="278"/>
      <c r="Q6" s="278"/>
      <c r="R6" s="278"/>
      <c r="S6" s="278"/>
      <c r="T6" s="278"/>
      <c r="U6" s="278"/>
      <c r="V6" s="279"/>
    </row>
    <row r="7" spans="1:75" ht="19.5" customHeight="1" thickBot="1" x14ac:dyDescent="0.3">
      <c r="A7" s="478"/>
      <c r="B7" s="479"/>
      <c r="C7" s="479"/>
      <c r="D7" s="480"/>
      <c r="E7" s="269"/>
      <c r="F7" s="269"/>
      <c r="G7" s="269"/>
      <c r="H7" s="484" t="s">
        <v>241</v>
      </c>
      <c r="I7" s="485"/>
      <c r="J7" s="486"/>
      <c r="K7" s="277" t="s">
        <v>247</v>
      </c>
      <c r="L7" s="278"/>
      <c r="M7" s="279"/>
      <c r="N7" s="277" t="s">
        <v>247</v>
      </c>
      <c r="O7" s="278"/>
      <c r="P7" s="279"/>
      <c r="Q7" s="277" t="s">
        <v>247</v>
      </c>
      <c r="R7" s="278"/>
      <c r="S7" s="279"/>
      <c r="T7" s="277" t="s">
        <v>247</v>
      </c>
      <c r="U7" s="278"/>
      <c r="V7" s="279"/>
    </row>
    <row r="8" spans="1:75" ht="19.5" customHeight="1" thickBot="1" x14ac:dyDescent="0.3">
      <c r="A8" s="478"/>
      <c r="B8" s="479"/>
      <c r="C8" s="479"/>
      <c r="D8" s="480"/>
      <c r="E8" s="269"/>
      <c r="F8" s="269"/>
      <c r="G8" s="269"/>
      <c r="H8" s="487"/>
      <c r="I8" s="488"/>
      <c r="J8" s="489"/>
      <c r="K8" s="469" t="s">
        <v>291</v>
      </c>
      <c r="L8" s="470"/>
      <c r="M8" s="471"/>
      <c r="N8" s="469" t="s">
        <v>293</v>
      </c>
      <c r="O8" s="470"/>
      <c r="P8" s="471"/>
      <c r="Q8" s="469" t="s">
        <v>294</v>
      </c>
      <c r="R8" s="470"/>
      <c r="S8" s="471"/>
      <c r="T8" s="469" t="s">
        <v>285</v>
      </c>
      <c r="U8" s="470"/>
      <c r="V8" s="471"/>
    </row>
    <row r="9" spans="1:75" ht="48" customHeight="1" thickBot="1" x14ac:dyDescent="0.3">
      <c r="A9" s="478"/>
      <c r="B9" s="479"/>
      <c r="C9" s="479"/>
      <c r="D9" s="480"/>
      <c r="E9" s="269"/>
      <c r="F9" s="269"/>
      <c r="G9" s="269"/>
      <c r="H9" s="490"/>
      <c r="I9" s="491"/>
      <c r="J9" s="492"/>
      <c r="K9" s="496" t="s">
        <v>292</v>
      </c>
      <c r="L9" s="497"/>
      <c r="M9" s="498"/>
      <c r="N9" s="499" t="s">
        <v>284</v>
      </c>
      <c r="O9" s="500"/>
      <c r="P9" s="501"/>
      <c r="Q9" s="502" t="s">
        <v>295</v>
      </c>
      <c r="R9" s="503"/>
      <c r="S9" s="504"/>
      <c r="T9" s="493" t="s">
        <v>296</v>
      </c>
      <c r="U9" s="494"/>
      <c r="V9" s="495"/>
    </row>
    <row r="10" spans="1:75" ht="18.75" customHeight="1" x14ac:dyDescent="0.25">
      <c r="A10" s="478"/>
      <c r="B10" s="479"/>
      <c r="C10" s="479"/>
      <c r="D10" s="480"/>
      <c r="E10" s="269"/>
      <c r="F10" s="269"/>
      <c r="G10" s="269"/>
      <c r="H10" s="201" t="s">
        <v>274</v>
      </c>
      <c r="I10" s="201" t="s">
        <v>275</v>
      </c>
      <c r="J10" s="201" t="s">
        <v>276</v>
      </c>
      <c r="K10" s="201" t="s">
        <v>274</v>
      </c>
      <c r="L10" s="201" t="s">
        <v>275</v>
      </c>
      <c r="M10" s="201" t="s">
        <v>276</v>
      </c>
      <c r="N10" s="201" t="s">
        <v>274</v>
      </c>
      <c r="O10" s="201" t="s">
        <v>275</v>
      </c>
      <c r="P10" s="201" t="s">
        <v>276</v>
      </c>
      <c r="Q10" s="201" t="s">
        <v>274</v>
      </c>
      <c r="R10" s="201" t="s">
        <v>275</v>
      </c>
      <c r="S10" s="201" t="s">
        <v>276</v>
      </c>
      <c r="T10" s="201" t="s">
        <v>274</v>
      </c>
      <c r="U10" s="201" t="s">
        <v>275</v>
      </c>
      <c r="V10" s="201" t="s">
        <v>276</v>
      </c>
    </row>
    <row r="11" spans="1:75" ht="44.25" customHeight="1" thickBot="1" x14ac:dyDescent="0.3">
      <c r="A11" s="481"/>
      <c r="B11" s="482"/>
      <c r="C11" s="482"/>
      <c r="D11" s="483"/>
      <c r="E11" s="270"/>
      <c r="F11" s="270"/>
      <c r="G11" s="270"/>
      <c r="H11" s="202" t="s">
        <v>39</v>
      </c>
      <c r="I11" s="202" t="s">
        <v>101</v>
      </c>
      <c r="J11" s="202" t="s">
        <v>102</v>
      </c>
      <c r="K11" s="202" t="s">
        <v>39</v>
      </c>
      <c r="L11" s="202" t="s">
        <v>101</v>
      </c>
      <c r="M11" s="202" t="s">
        <v>102</v>
      </c>
      <c r="N11" s="202" t="s">
        <v>39</v>
      </c>
      <c r="O11" s="202" t="s">
        <v>101</v>
      </c>
      <c r="P11" s="202" t="s">
        <v>102</v>
      </c>
      <c r="Q11" s="202" t="s">
        <v>39</v>
      </c>
      <c r="R11" s="202" t="s">
        <v>101</v>
      </c>
      <c r="S11" s="202" t="s">
        <v>102</v>
      </c>
      <c r="T11" s="202" t="s">
        <v>39</v>
      </c>
      <c r="U11" s="202" t="s">
        <v>101</v>
      </c>
      <c r="V11" s="202" t="s">
        <v>102</v>
      </c>
    </row>
    <row r="12" spans="1:75" ht="13.5" customHeight="1" thickBot="1" x14ac:dyDescent="0.3">
      <c r="A12" s="257">
        <v>1</v>
      </c>
      <c r="B12" s="258"/>
      <c r="C12" s="258"/>
      <c r="D12" s="259"/>
      <c r="E12" s="82">
        <v>2</v>
      </c>
      <c r="F12" s="82">
        <v>3</v>
      </c>
      <c r="G12" s="83">
        <v>4</v>
      </c>
      <c r="H12" s="83">
        <v>5</v>
      </c>
      <c r="I12" s="83">
        <v>6</v>
      </c>
      <c r="J12" s="83">
        <v>7</v>
      </c>
      <c r="K12" s="83">
        <v>8</v>
      </c>
      <c r="L12" s="83">
        <v>9</v>
      </c>
      <c r="M12" s="83">
        <v>10</v>
      </c>
      <c r="N12" s="83">
        <v>11</v>
      </c>
      <c r="O12" s="83">
        <v>12</v>
      </c>
      <c r="P12" s="83">
        <v>13</v>
      </c>
      <c r="Q12" s="83">
        <v>14</v>
      </c>
      <c r="R12" s="83">
        <v>15</v>
      </c>
      <c r="S12" s="83">
        <v>16</v>
      </c>
      <c r="T12" s="83">
        <v>17</v>
      </c>
      <c r="U12" s="83">
        <v>18</v>
      </c>
      <c r="V12" s="83">
        <v>19</v>
      </c>
    </row>
    <row r="13" spans="1:75" s="28" customFormat="1" ht="30" customHeight="1" x14ac:dyDescent="0.25">
      <c r="A13" s="472" t="s">
        <v>244</v>
      </c>
      <c r="B13" s="472"/>
      <c r="C13" s="472"/>
      <c r="D13" s="472"/>
      <c r="E13" s="86" t="s">
        <v>28</v>
      </c>
      <c r="F13" s="86" t="s">
        <v>9</v>
      </c>
      <c r="G13" s="223" t="s">
        <v>9</v>
      </c>
      <c r="H13" s="122">
        <f>K13+N13+Q13+T13</f>
        <v>486124.44</v>
      </c>
      <c r="I13" s="122">
        <f>L13+O13+R13+U13</f>
        <v>0</v>
      </c>
      <c r="J13" s="122">
        <f>M13+P13+S13+V13</f>
        <v>0</v>
      </c>
      <c r="K13" s="122"/>
      <c r="L13" s="122"/>
      <c r="M13" s="230"/>
      <c r="N13" s="218">
        <v>389604.01</v>
      </c>
      <c r="O13" s="218"/>
      <c r="P13" s="231"/>
      <c r="Q13" s="230"/>
      <c r="R13" s="230"/>
      <c r="S13" s="230"/>
      <c r="T13" s="231">
        <v>96520.43</v>
      </c>
      <c r="U13" s="231"/>
      <c r="V13" s="231"/>
    </row>
    <row r="14" spans="1:75" s="28" customFormat="1" ht="21" customHeight="1" x14ac:dyDescent="0.25">
      <c r="A14" s="472" t="s">
        <v>254</v>
      </c>
      <c r="B14" s="472"/>
      <c r="C14" s="472"/>
      <c r="D14" s="472"/>
      <c r="E14" s="86" t="s">
        <v>160</v>
      </c>
      <c r="F14" s="87" t="s">
        <v>9</v>
      </c>
      <c r="G14" s="224" t="s">
        <v>9</v>
      </c>
      <c r="H14" s="122">
        <f t="shared" ref="H14:J100" si="0">K14+N14+Q14+T14</f>
        <v>0</v>
      </c>
      <c r="I14" s="122">
        <f t="shared" si="0"/>
        <v>0</v>
      </c>
      <c r="J14" s="122">
        <f t="shared" si="0"/>
        <v>0</v>
      </c>
      <c r="K14" s="121"/>
      <c r="L14" s="121"/>
      <c r="M14" s="121"/>
      <c r="N14" s="121"/>
      <c r="O14" s="121"/>
      <c r="P14" s="121"/>
      <c r="Q14" s="121"/>
      <c r="R14" s="121"/>
      <c r="S14" s="121"/>
      <c r="T14" s="121"/>
      <c r="U14" s="121"/>
      <c r="V14" s="12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s="28" customFormat="1" ht="15.75" customHeight="1" x14ac:dyDescent="0.25">
      <c r="A15" s="472" t="s">
        <v>105</v>
      </c>
      <c r="B15" s="472"/>
      <c r="C15" s="472"/>
      <c r="D15" s="472"/>
      <c r="E15" s="86">
        <v>1000</v>
      </c>
      <c r="F15" s="85"/>
      <c r="G15" s="217"/>
      <c r="H15" s="123">
        <f t="shared" si="0"/>
        <v>4558339.2</v>
      </c>
      <c r="I15" s="123">
        <f t="shared" si="0"/>
        <v>4974342.2</v>
      </c>
      <c r="J15" s="123">
        <f t="shared" si="0"/>
        <v>5163911.5</v>
      </c>
      <c r="K15" s="123">
        <f>K19+0</f>
        <v>0</v>
      </c>
      <c r="L15" s="123">
        <f>L19+0</f>
        <v>0</v>
      </c>
      <c r="M15" s="123">
        <f>M19+0</f>
        <v>0</v>
      </c>
      <c r="N15" s="123">
        <f>N19+0</f>
        <v>4102339.2</v>
      </c>
      <c r="O15" s="123">
        <f t="shared" ref="O15:V15" si="1">O19+0</f>
        <v>4453332.2</v>
      </c>
      <c r="P15" s="123">
        <f t="shared" si="1"/>
        <v>4623056.5</v>
      </c>
      <c r="Q15" s="123">
        <f t="shared" si="1"/>
        <v>0</v>
      </c>
      <c r="R15" s="123">
        <f t="shared" si="1"/>
        <v>0</v>
      </c>
      <c r="S15" s="123">
        <f t="shared" si="1"/>
        <v>0</v>
      </c>
      <c r="T15" s="123">
        <f t="shared" si="1"/>
        <v>456000</v>
      </c>
      <c r="U15" s="123">
        <f t="shared" si="1"/>
        <v>521010</v>
      </c>
      <c r="V15" s="123">
        <f t="shared" si="1"/>
        <v>540855</v>
      </c>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row>
    <row r="16" spans="1:75" s="28" customFormat="1" ht="14.25" customHeight="1" x14ac:dyDescent="0.25">
      <c r="A16" s="319" t="s">
        <v>106</v>
      </c>
      <c r="B16" s="319"/>
      <c r="C16" s="319"/>
      <c r="D16" s="319"/>
      <c r="E16" s="81">
        <v>1100</v>
      </c>
      <c r="F16" s="84">
        <v>120</v>
      </c>
      <c r="G16" s="200"/>
      <c r="H16" s="121">
        <f t="shared" si="0"/>
        <v>0</v>
      </c>
      <c r="I16" s="121">
        <f t="shared" si="0"/>
        <v>0</v>
      </c>
      <c r="J16" s="121">
        <f t="shared" si="0"/>
        <v>0</v>
      </c>
      <c r="K16" s="121"/>
      <c r="L16" s="121"/>
      <c r="M16" s="121"/>
      <c r="N16" s="228"/>
      <c r="O16" s="228"/>
      <c r="P16" s="228"/>
      <c r="Q16" s="121"/>
      <c r="R16" s="121"/>
      <c r="S16" s="121"/>
      <c r="T16" s="228"/>
      <c r="U16" s="228"/>
      <c r="V16" s="228"/>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1:75" s="28" customFormat="1" ht="15.75" customHeight="1" x14ac:dyDescent="0.25">
      <c r="A17" s="319" t="s">
        <v>24</v>
      </c>
      <c r="B17" s="319"/>
      <c r="C17" s="319"/>
      <c r="D17" s="319"/>
      <c r="E17" s="76"/>
      <c r="F17" s="76"/>
      <c r="G17" s="200"/>
      <c r="H17" s="121">
        <f t="shared" si="0"/>
        <v>0</v>
      </c>
      <c r="I17" s="121">
        <f t="shared" si="0"/>
        <v>0</v>
      </c>
      <c r="J17" s="121">
        <f t="shared" si="0"/>
        <v>0</v>
      </c>
      <c r="K17" s="121"/>
      <c r="L17" s="121"/>
      <c r="M17" s="121"/>
      <c r="N17" s="228"/>
      <c r="O17" s="228"/>
      <c r="P17" s="228"/>
      <c r="Q17" s="121"/>
      <c r="R17" s="121"/>
      <c r="S17" s="121"/>
      <c r="T17" s="228"/>
      <c r="U17" s="228"/>
      <c r="V17" s="228"/>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1:75" s="28" customFormat="1" ht="15" customHeight="1" x14ac:dyDescent="0.25">
      <c r="A18" s="319"/>
      <c r="B18" s="319"/>
      <c r="C18" s="319"/>
      <c r="D18" s="319"/>
      <c r="E18" s="81">
        <v>1110</v>
      </c>
      <c r="F18" s="84">
        <v>120</v>
      </c>
      <c r="G18" s="200"/>
      <c r="H18" s="121">
        <f t="shared" si="0"/>
        <v>0</v>
      </c>
      <c r="I18" s="121">
        <f t="shared" si="0"/>
        <v>0</v>
      </c>
      <c r="J18" s="121">
        <f t="shared" si="0"/>
        <v>0</v>
      </c>
      <c r="K18" s="121"/>
      <c r="L18" s="121"/>
      <c r="M18" s="121"/>
      <c r="N18" s="228"/>
      <c r="O18" s="228"/>
      <c r="P18" s="228"/>
      <c r="Q18" s="121"/>
      <c r="R18" s="121"/>
      <c r="S18" s="121"/>
      <c r="T18" s="228"/>
      <c r="U18" s="228"/>
      <c r="V18" s="228"/>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1:75" s="28" customFormat="1" ht="33" customHeight="1" x14ac:dyDescent="0.25">
      <c r="A19" s="319" t="s">
        <v>107</v>
      </c>
      <c r="B19" s="319"/>
      <c r="C19" s="319"/>
      <c r="D19" s="319"/>
      <c r="E19" s="81">
        <v>1200</v>
      </c>
      <c r="F19" s="84">
        <v>130</v>
      </c>
      <c r="G19" s="200"/>
      <c r="H19" s="121">
        <f t="shared" si="0"/>
        <v>4558339.2</v>
      </c>
      <c r="I19" s="121">
        <f t="shared" si="0"/>
        <v>4974342.2</v>
      </c>
      <c r="J19" s="121">
        <f t="shared" si="0"/>
        <v>5163911.5</v>
      </c>
      <c r="K19" s="121"/>
      <c r="L19" s="121"/>
      <c r="M19" s="121"/>
      <c r="N19" s="228">
        <f>4102339.2</f>
        <v>4102339.2</v>
      </c>
      <c r="O19" s="228">
        <v>4453332.2</v>
      </c>
      <c r="P19" s="228">
        <v>4623056.5</v>
      </c>
      <c r="Q19" s="121"/>
      <c r="R19" s="121"/>
      <c r="S19" s="121"/>
      <c r="T19" s="228">
        <f>504000-48000</f>
        <v>456000</v>
      </c>
      <c r="U19" s="228">
        <v>521010</v>
      </c>
      <c r="V19" s="228">
        <v>540855</v>
      </c>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row>
    <row r="20" spans="1:75" s="28" customFormat="1" ht="61.5" customHeight="1" x14ac:dyDescent="0.25">
      <c r="A20" s="319" t="s">
        <v>261</v>
      </c>
      <c r="B20" s="319"/>
      <c r="C20" s="319"/>
      <c r="D20" s="319"/>
      <c r="E20" s="81">
        <v>1210</v>
      </c>
      <c r="F20" s="84">
        <v>130</v>
      </c>
      <c r="G20" s="200">
        <v>131</v>
      </c>
      <c r="H20" s="121">
        <f t="shared" si="0"/>
        <v>4558339.2</v>
      </c>
      <c r="I20" s="121">
        <f t="shared" si="0"/>
        <v>4974342.2</v>
      </c>
      <c r="J20" s="121">
        <f t="shared" si="0"/>
        <v>5163911.5</v>
      </c>
      <c r="K20" s="121"/>
      <c r="L20" s="121"/>
      <c r="M20" s="121"/>
      <c r="N20" s="228">
        <f>N19</f>
        <v>4102339.2</v>
      </c>
      <c r="O20" s="228">
        <f>O19</f>
        <v>4453332.2</v>
      </c>
      <c r="P20" s="228">
        <f>P19</f>
        <v>4623056.5</v>
      </c>
      <c r="Q20" s="121"/>
      <c r="R20" s="121"/>
      <c r="S20" s="121"/>
      <c r="T20" s="228">
        <f>T19</f>
        <v>456000</v>
      </c>
      <c r="U20" s="228">
        <f>U19</f>
        <v>521010</v>
      </c>
      <c r="V20" s="228">
        <f>V19</f>
        <v>540855</v>
      </c>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row>
    <row r="21" spans="1:75" s="28" customFormat="1" ht="50.25" customHeight="1" x14ac:dyDescent="0.25">
      <c r="A21" s="319" t="s">
        <v>262</v>
      </c>
      <c r="B21" s="319"/>
      <c r="C21" s="319"/>
      <c r="D21" s="319"/>
      <c r="E21" s="81">
        <v>1220</v>
      </c>
      <c r="F21" s="84">
        <v>130</v>
      </c>
      <c r="G21" s="200"/>
      <c r="H21" s="121">
        <f t="shared" si="0"/>
        <v>0</v>
      </c>
      <c r="I21" s="121">
        <f t="shared" si="0"/>
        <v>0</v>
      </c>
      <c r="J21" s="121">
        <f t="shared" si="0"/>
        <v>0</v>
      </c>
      <c r="K21" s="121"/>
      <c r="L21" s="121"/>
      <c r="M21" s="121"/>
      <c r="N21" s="228"/>
      <c r="O21" s="228"/>
      <c r="P21" s="228"/>
      <c r="Q21" s="121"/>
      <c r="R21" s="121"/>
      <c r="S21" s="121"/>
      <c r="T21" s="228"/>
      <c r="U21" s="228"/>
      <c r="V21" s="228"/>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row>
    <row r="22" spans="1:75" s="28" customFormat="1" ht="11.1" customHeight="1" x14ac:dyDescent="0.25">
      <c r="A22" s="319"/>
      <c r="B22" s="319"/>
      <c r="C22" s="319"/>
      <c r="D22" s="319"/>
      <c r="E22" s="76"/>
      <c r="F22" s="76"/>
      <c r="G22" s="200"/>
      <c r="H22" s="121">
        <f t="shared" si="0"/>
        <v>0</v>
      </c>
      <c r="I22" s="121">
        <f t="shared" si="0"/>
        <v>0</v>
      </c>
      <c r="J22" s="121">
        <f t="shared" si="0"/>
        <v>0</v>
      </c>
      <c r="K22" s="121"/>
      <c r="L22" s="121"/>
      <c r="M22" s="121"/>
      <c r="N22" s="228"/>
      <c r="O22" s="228"/>
      <c r="P22" s="228"/>
      <c r="Q22" s="121"/>
      <c r="R22" s="121"/>
      <c r="S22" s="121"/>
      <c r="T22" s="228"/>
      <c r="U22" s="228"/>
      <c r="V22" s="228"/>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row>
    <row r="23" spans="1:75" s="28" customFormat="1" ht="26.25" customHeight="1" x14ac:dyDescent="0.25">
      <c r="A23" s="319" t="s">
        <v>108</v>
      </c>
      <c r="B23" s="319"/>
      <c r="C23" s="319"/>
      <c r="D23" s="319"/>
      <c r="E23" s="81">
        <v>1300</v>
      </c>
      <c r="F23" s="84">
        <v>140</v>
      </c>
      <c r="G23" s="200"/>
      <c r="H23" s="121">
        <f t="shared" si="0"/>
        <v>0</v>
      </c>
      <c r="I23" s="121">
        <f t="shared" si="0"/>
        <v>0</v>
      </c>
      <c r="J23" s="121">
        <f t="shared" si="0"/>
        <v>0</v>
      </c>
      <c r="K23" s="121"/>
      <c r="L23" s="121"/>
      <c r="M23" s="121"/>
      <c r="N23" s="228"/>
      <c r="O23" s="228"/>
      <c r="P23" s="228"/>
      <c r="Q23" s="121"/>
      <c r="R23" s="121"/>
      <c r="S23" s="121"/>
      <c r="T23" s="121"/>
      <c r="U23" s="121"/>
      <c r="V23" s="12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row>
    <row r="24" spans="1:75" s="28" customFormat="1" ht="11.1" customHeight="1" x14ac:dyDescent="0.25">
      <c r="A24" s="319" t="s">
        <v>24</v>
      </c>
      <c r="B24" s="319"/>
      <c r="C24" s="319"/>
      <c r="D24" s="319"/>
      <c r="E24" s="76"/>
      <c r="F24" s="84"/>
      <c r="G24" s="200"/>
      <c r="H24" s="121">
        <f t="shared" si="0"/>
        <v>0</v>
      </c>
      <c r="I24" s="121">
        <f t="shared" si="0"/>
        <v>0</v>
      </c>
      <c r="J24" s="121">
        <f t="shared" si="0"/>
        <v>0</v>
      </c>
      <c r="K24" s="121"/>
      <c r="L24" s="121"/>
      <c r="M24" s="121"/>
      <c r="N24" s="228"/>
      <c r="O24" s="228"/>
      <c r="P24" s="228"/>
      <c r="Q24" s="121"/>
      <c r="R24" s="121"/>
      <c r="S24" s="121"/>
      <c r="T24" s="121"/>
      <c r="U24" s="121"/>
      <c r="V24" s="12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row>
    <row r="25" spans="1:75" s="28" customFormat="1" ht="13.5" customHeight="1" x14ac:dyDescent="0.25">
      <c r="A25" s="319"/>
      <c r="B25" s="319"/>
      <c r="C25" s="319"/>
      <c r="D25" s="319"/>
      <c r="E25" s="81">
        <v>1310</v>
      </c>
      <c r="F25" s="84">
        <v>140</v>
      </c>
      <c r="G25" s="200"/>
      <c r="H25" s="121">
        <f t="shared" si="0"/>
        <v>0</v>
      </c>
      <c r="I25" s="121">
        <f t="shared" si="0"/>
        <v>0</v>
      </c>
      <c r="J25" s="121">
        <f t="shared" si="0"/>
        <v>0</v>
      </c>
      <c r="K25" s="121"/>
      <c r="L25" s="121"/>
      <c r="M25" s="121"/>
      <c r="N25" s="228"/>
      <c r="O25" s="228"/>
      <c r="P25" s="228"/>
      <c r="Q25" s="121"/>
      <c r="R25" s="121"/>
      <c r="S25" s="121"/>
      <c r="T25" s="121"/>
      <c r="U25" s="121"/>
      <c r="V25" s="12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row>
    <row r="26" spans="1:75" s="28" customFormat="1" ht="14.25" customHeight="1" x14ac:dyDescent="0.25">
      <c r="A26" s="319" t="s">
        <v>109</v>
      </c>
      <c r="B26" s="319"/>
      <c r="C26" s="319"/>
      <c r="D26" s="319"/>
      <c r="E26" s="81">
        <v>1400</v>
      </c>
      <c r="F26" s="84">
        <v>150</v>
      </c>
      <c r="G26" s="200"/>
      <c r="H26" s="121">
        <f t="shared" si="0"/>
        <v>0</v>
      </c>
      <c r="I26" s="121">
        <f t="shared" si="0"/>
        <v>0</v>
      </c>
      <c r="J26" s="121">
        <f t="shared" si="0"/>
        <v>0</v>
      </c>
      <c r="K26" s="121"/>
      <c r="L26" s="121"/>
      <c r="M26" s="121"/>
      <c r="N26" s="228"/>
      <c r="O26" s="228"/>
      <c r="P26" s="228"/>
      <c r="Q26" s="121"/>
      <c r="R26" s="121"/>
      <c r="S26" s="121"/>
      <c r="T26" s="121"/>
      <c r="U26" s="121"/>
      <c r="V26" s="12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row>
    <row r="27" spans="1:75" s="28" customFormat="1" ht="11.1" customHeight="1" x14ac:dyDescent="0.25">
      <c r="A27" s="319" t="s">
        <v>24</v>
      </c>
      <c r="B27" s="319"/>
      <c r="C27" s="319"/>
      <c r="D27" s="319"/>
      <c r="E27" s="84"/>
      <c r="F27" s="84"/>
      <c r="G27" s="200"/>
      <c r="H27" s="121">
        <f t="shared" si="0"/>
        <v>0</v>
      </c>
      <c r="I27" s="121">
        <f t="shared" si="0"/>
        <v>0</v>
      </c>
      <c r="J27" s="121">
        <f t="shared" si="0"/>
        <v>0</v>
      </c>
      <c r="K27" s="121"/>
      <c r="L27" s="121"/>
      <c r="M27" s="121"/>
      <c r="N27" s="228"/>
      <c r="O27" s="228"/>
      <c r="P27" s="228"/>
      <c r="Q27" s="121"/>
      <c r="R27" s="121"/>
      <c r="S27" s="121"/>
      <c r="T27" s="121"/>
      <c r="U27" s="121"/>
      <c r="V27" s="12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row>
    <row r="28" spans="1:75" s="28" customFormat="1" ht="11.1" customHeight="1" x14ac:dyDescent="0.25">
      <c r="A28" s="505" t="s">
        <v>111</v>
      </c>
      <c r="B28" s="505"/>
      <c r="C28" s="505"/>
      <c r="D28" s="505"/>
      <c r="E28" s="84">
        <v>1410</v>
      </c>
      <c r="F28" s="84">
        <v>150</v>
      </c>
      <c r="G28" s="200"/>
      <c r="H28" s="121">
        <f t="shared" si="0"/>
        <v>0</v>
      </c>
      <c r="I28" s="121">
        <f t="shared" si="0"/>
        <v>0</v>
      </c>
      <c r="J28" s="121">
        <f t="shared" si="0"/>
        <v>0</v>
      </c>
      <c r="K28" s="121"/>
      <c r="L28" s="121"/>
      <c r="M28" s="121"/>
      <c r="N28" s="228"/>
      <c r="O28" s="228"/>
      <c r="P28" s="228"/>
      <c r="Q28" s="121"/>
      <c r="R28" s="121"/>
      <c r="S28" s="121"/>
      <c r="T28" s="121"/>
      <c r="U28" s="121"/>
      <c r="V28" s="12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row>
    <row r="29" spans="1:75" s="28" customFormat="1" ht="11.1" customHeight="1" x14ac:dyDescent="0.25">
      <c r="A29" s="507" t="s">
        <v>26</v>
      </c>
      <c r="B29" s="508"/>
      <c r="C29" s="508"/>
      <c r="D29" s="509"/>
      <c r="E29" s="236">
        <v>1420</v>
      </c>
      <c r="F29" s="84">
        <v>150</v>
      </c>
      <c r="G29" s="200"/>
      <c r="H29" s="121">
        <f t="shared" si="0"/>
        <v>0</v>
      </c>
      <c r="I29" s="121">
        <f t="shared" si="0"/>
        <v>0</v>
      </c>
      <c r="J29" s="121">
        <f t="shared" si="0"/>
        <v>0</v>
      </c>
      <c r="K29" s="121"/>
      <c r="L29" s="121"/>
      <c r="M29" s="121"/>
      <c r="N29" s="228"/>
      <c r="O29" s="228"/>
      <c r="P29" s="228"/>
      <c r="Q29" s="121"/>
      <c r="R29" s="121"/>
      <c r="S29" s="121"/>
      <c r="T29" s="121"/>
      <c r="U29" s="121"/>
      <c r="V29" s="12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row>
    <row r="30" spans="1:75" s="28" customFormat="1" ht="14.25" customHeight="1" x14ac:dyDescent="0.25">
      <c r="A30" s="319" t="s">
        <v>110</v>
      </c>
      <c r="B30" s="319"/>
      <c r="C30" s="319"/>
      <c r="D30" s="319"/>
      <c r="E30" s="81">
        <v>1500</v>
      </c>
      <c r="F30" s="84">
        <v>180</v>
      </c>
      <c r="G30" s="200"/>
      <c r="H30" s="121">
        <f t="shared" si="0"/>
        <v>0</v>
      </c>
      <c r="I30" s="121">
        <f t="shared" si="0"/>
        <v>0</v>
      </c>
      <c r="J30" s="121">
        <f t="shared" si="0"/>
        <v>0</v>
      </c>
      <c r="K30" s="121"/>
      <c r="L30" s="121"/>
      <c r="M30" s="121"/>
      <c r="N30" s="228"/>
      <c r="O30" s="228"/>
      <c r="P30" s="228"/>
      <c r="Q30" s="121"/>
      <c r="R30" s="121"/>
      <c r="S30" s="121"/>
      <c r="T30" s="121"/>
      <c r="U30" s="121"/>
      <c r="V30" s="12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row>
    <row r="31" spans="1:75" s="28" customFormat="1" ht="11.1" customHeight="1" x14ac:dyDescent="0.25">
      <c r="A31" s="319" t="s">
        <v>24</v>
      </c>
      <c r="B31" s="319"/>
      <c r="C31" s="319"/>
      <c r="D31" s="319"/>
      <c r="E31" s="84"/>
      <c r="F31" s="84"/>
      <c r="G31" s="200"/>
      <c r="H31" s="121">
        <f t="shared" si="0"/>
        <v>0</v>
      </c>
      <c r="I31" s="121">
        <f t="shared" si="0"/>
        <v>0</v>
      </c>
      <c r="J31" s="121">
        <f t="shared" si="0"/>
        <v>0</v>
      </c>
      <c r="K31" s="121"/>
      <c r="L31" s="121"/>
      <c r="M31" s="121"/>
      <c r="N31" s="228"/>
      <c r="O31" s="228"/>
      <c r="P31" s="228"/>
      <c r="Q31" s="121"/>
      <c r="R31" s="121"/>
      <c r="S31" s="121"/>
      <c r="T31" s="121"/>
      <c r="U31" s="121"/>
      <c r="V31" s="12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row>
    <row r="32" spans="1:75" s="28" customFormat="1" ht="15" customHeight="1" x14ac:dyDescent="0.25">
      <c r="A32" s="506"/>
      <c r="B32" s="506"/>
      <c r="C32" s="506"/>
      <c r="D32" s="506"/>
      <c r="E32" s="249">
        <v>1510</v>
      </c>
      <c r="F32" s="109">
        <v>180</v>
      </c>
      <c r="G32" s="200"/>
      <c r="H32" s="121">
        <f t="shared" si="0"/>
        <v>0</v>
      </c>
      <c r="I32" s="121">
        <f t="shared" si="0"/>
        <v>0</v>
      </c>
      <c r="J32" s="121">
        <f t="shared" si="0"/>
        <v>0</v>
      </c>
      <c r="K32" s="121"/>
      <c r="L32" s="121"/>
      <c r="M32" s="121"/>
      <c r="N32" s="232"/>
      <c r="O32" s="232"/>
      <c r="P32" s="232"/>
      <c r="Q32" s="121"/>
      <c r="R32" s="121"/>
      <c r="S32" s="121"/>
      <c r="T32" s="121"/>
      <c r="U32" s="121"/>
      <c r="V32" s="12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row>
    <row r="33" spans="1:75" s="28" customFormat="1" ht="29.25" customHeight="1" x14ac:dyDescent="0.25">
      <c r="A33" s="506"/>
      <c r="B33" s="506"/>
      <c r="C33" s="506"/>
      <c r="D33" s="506"/>
      <c r="E33" s="249">
        <v>1520</v>
      </c>
      <c r="F33" s="109">
        <v>180</v>
      </c>
      <c r="G33" s="200"/>
      <c r="H33" s="121">
        <f t="shared" si="0"/>
        <v>0</v>
      </c>
      <c r="I33" s="121">
        <f t="shared" si="0"/>
        <v>0</v>
      </c>
      <c r="J33" s="121">
        <f t="shared" si="0"/>
        <v>0</v>
      </c>
      <c r="K33" s="121"/>
      <c r="L33" s="121"/>
      <c r="M33" s="121"/>
      <c r="N33" s="228"/>
      <c r="O33" s="228"/>
      <c r="P33" s="228"/>
      <c r="Q33" s="121"/>
      <c r="R33" s="121"/>
      <c r="S33" s="121"/>
      <c r="T33" s="121"/>
      <c r="U33" s="121"/>
      <c r="V33" s="12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row>
    <row r="34" spans="1:75" s="28" customFormat="1" ht="11.1" customHeight="1" x14ac:dyDescent="0.25">
      <c r="A34" s="319"/>
      <c r="B34" s="319"/>
      <c r="C34" s="319"/>
      <c r="D34" s="319"/>
      <c r="E34" s="76"/>
      <c r="F34" s="76"/>
      <c r="G34" s="200"/>
      <c r="H34" s="121">
        <f t="shared" si="0"/>
        <v>0</v>
      </c>
      <c r="I34" s="121">
        <f t="shared" si="0"/>
        <v>0</v>
      </c>
      <c r="J34" s="121">
        <f t="shared" si="0"/>
        <v>0</v>
      </c>
      <c r="K34" s="121"/>
      <c r="L34" s="121"/>
      <c r="M34" s="121"/>
      <c r="N34" s="228"/>
      <c r="O34" s="228"/>
      <c r="P34" s="228"/>
      <c r="Q34" s="121"/>
      <c r="R34" s="121"/>
      <c r="S34" s="121"/>
      <c r="T34" s="121"/>
      <c r="U34" s="121"/>
      <c r="V34" s="12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row>
    <row r="35" spans="1:75" s="28" customFormat="1" ht="17.25" customHeight="1" x14ac:dyDescent="0.25">
      <c r="A35" s="319" t="s">
        <v>112</v>
      </c>
      <c r="B35" s="319"/>
      <c r="C35" s="319"/>
      <c r="D35" s="319"/>
      <c r="E35" s="81">
        <v>1900</v>
      </c>
      <c r="F35" s="76"/>
      <c r="G35" s="200"/>
      <c r="H35" s="121">
        <f t="shared" si="0"/>
        <v>0</v>
      </c>
      <c r="I35" s="121">
        <f t="shared" si="0"/>
        <v>0</v>
      </c>
      <c r="J35" s="121">
        <f t="shared" si="0"/>
        <v>0</v>
      </c>
      <c r="K35" s="121"/>
      <c r="L35" s="121"/>
      <c r="M35" s="121"/>
      <c r="N35" s="228"/>
      <c r="O35" s="228"/>
      <c r="P35" s="228"/>
      <c r="Q35" s="121"/>
      <c r="R35" s="121"/>
      <c r="S35" s="121"/>
      <c r="T35" s="121"/>
      <c r="U35" s="121"/>
      <c r="V35" s="12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row>
    <row r="36" spans="1:75" s="28" customFormat="1" ht="14.25" customHeight="1" x14ac:dyDescent="0.25">
      <c r="A36" s="319" t="s">
        <v>24</v>
      </c>
      <c r="B36" s="319"/>
      <c r="C36" s="319"/>
      <c r="D36" s="319"/>
      <c r="E36" s="76"/>
      <c r="F36" s="76"/>
      <c r="G36" s="200"/>
      <c r="H36" s="121">
        <f t="shared" si="0"/>
        <v>0</v>
      </c>
      <c r="I36" s="121">
        <f t="shared" si="0"/>
        <v>0</v>
      </c>
      <c r="J36" s="121">
        <f t="shared" si="0"/>
        <v>0</v>
      </c>
      <c r="K36" s="121"/>
      <c r="L36" s="121"/>
      <c r="M36" s="121"/>
      <c r="N36" s="228"/>
      <c r="O36" s="228"/>
      <c r="P36" s="228"/>
      <c r="Q36" s="121"/>
      <c r="R36" s="121"/>
      <c r="S36" s="121"/>
      <c r="T36" s="121"/>
      <c r="U36" s="121"/>
      <c r="V36" s="12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row>
    <row r="37" spans="1:75" s="28" customFormat="1" ht="11.1" customHeight="1" x14ac:dyDescent="0.25">
      <c r="A37" s="319"/>
      <c r="B37" s="319"/>
      <c r="C37" s="319"/>
      <c r="D37" s="319"/>
      <c r="E37" s="76"/>
      <c r="F37" s="76"/>
      <c r="G37" s="200"/>
      <c r="H37" s="121">
        <f t="shared" si="0"/>
        <v>0</v>
      </c>
      <c r="I37" s="121">
        <f t="shared" si="0"/>
        <v>0</v>
      </c>
      <c r="J37" s="121">
        <f t="shared" si="0"/>
        <v>0</v>
      </c>
      <c r="K37" s="121"/>
      <c r="L37" s="121"/>
      <c r="M37" s="121"/>
      <c r="N37" s="228"/>
      <c r="O37" s="228"/>
      <c r="P37" s="228"/>
      <c r="Q37" s="121"/>
      <c r="R37" s="121"/>
      <c r="S37" s="121"/>
      <c r="T37" s="121"/>
      <c r="U37" s="121"/>
      <c r="V37" s="12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row>
    <row r="38" spans="1:75" s="28" customFormat="1" ht="11.1" customHeight="1" x14ac:dyDescent="0.25">
      <c r="A38" s="319"/>
      <c r="B38" s="319"/>
      <c r="C38" s="319"/>
      <c r="D38" s="319"/>
      <c r="E38" s="76"/>
      <c r="F38" s="76"/>
      <c r="G38" s="200"/>
      <c r="H38" s="121">
        <f t="shared" si="0"/>
        <v>0</v>
      </c>
      <c r="I38" s="121">
        <f t="shared" si="0"/>
        <v>0</v>
      </c>
      <c r="J38" s="121">
        <f t="shared" si="0"/>
        <v>0</v>
      </c>
      <c r="K38" s="121"/>
      <c r="L38" s="121"/>
      <c r="M38" s="121"/>
      <c r="N38" s="228"/>
      <c r="O38" s="228"/>
      <c r="P38" s="228"/>
      <c r="Q38" s="121"/>
      <c r="R38" s="121"/>
      <c r="S38" s="121"/>
      <c r="T38" s="121"/>
      <c r="U38" s="121"/>
      <c r="V38" s="12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row>
    <row r="39" spans="1:75" s="28" customFormat="1" ht="12.75" customHeight="1" x14ac:dyDescent="0.25">
      <c r="A39" s="319" t="s">
        <v>113</v>
      </c>
      <c r="B39" s="319"/>
      <c r="C39" s="319"/>
      <c r="D39" s="319"/>
      <c r="E39" s="81">
        <v>1980</v>
      </c>
      <c r="F39" s="84" t="s">
        <v>9</v>
      </c>
      <c r="G39" s="200"/>
      <c r="H39" s="121">
        <f t="shared" si="0"/>
        <v>0</v>
      </c>
      <c r="I39" s="121">
        <f t="shared" si="0"/>
        <v>0</v>
      </c>
      <c r="J39" s="121">
        <f t="shared" si="0"/>
        <v>0</v>
      </c>
      <c r="K39" s="121"/>
      <c r="L39" s="121"/>
      <c r="M39" s="121"/>
      <c r="N39" s="228"/>
      <c r="O39" s="228"/>
      <c r="P39" s="228"/>
      <c r="Q39" s="121"/>
      <c r="R39" s="121"/>
      <c r="S39" s="121"/>
      <c r="T39" s="121"/>
      <c r="U39" s="121"/>
      <c r="V39" s="12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row>
    <row r="40" spans="1:75" s="28" customFormat="1" ht="33.75" customHeight="1" x14ac:dyDescent="0.25">
      <c r="A40" s="319" t="s">
        <v>114</v>
      </c>
      <c r="B40" s="319"/>
      <c r="C40" s="319"/>
      <c r="D40" s="319"/>
      <c r="E40" s="81">
        <v>1981</v>
      </c>
      <c r="F40" s="81">
        <v>510</v>
      </c>
      <c r="G40" s="200"/>
      <c r="H40" s="121">
        <f t="shared" si="0"/>
        <v>0</v>
      </c>
      <c r="I40" s="121">
        <f t="shared" si="0"/>
        <v>0</v>
      </c>
      <c r="J40" s="121">
        <f t="shared" si="0"/>
        <v>0</v>
      </c>
      <c r="K40" s="121"/>
      <c r="L40" s="121"/>
      <c r="M40" s="121"/>
      <c r="N40" s="228"/>
      <c r="O40" s="228"/>
      <c r="P40" s="228"/>
      <c r="Q40" s="121"/>
      <c r="R40" s="121"/>
      <c r="S40" s="121"/>
      <c r="T40" s="121"/>
      <c r="U40" s="121"/>
      <c r="V40" s="12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row>
    <row r="41" spans="1:75" s="28" customFormat="1" ht="18" customHeight="1" x14ac:dyDescent="0.25">
      <c r="A41" s="319"/>
      <c r="B41" s="319"/>
      <c r="C41" s="319"/>
      <c r="D41" s="319"/>
      <c r="E41" s="81">
        <v>1990</v>
      </c>
      <c r="F41" s="76"/>
      <c r="G41" s="200"/>
      <c r="H41" s="121">
        <f t="shared" si="0"/>
        <v>0</v>
      </c>
      <c r="I41" s="121">
        <f t="shared" si="0"/>
        <v>0</v>
      </c>
      <c r="J41" s="121">
        <f t="shared" si="0"/>
        <v>0</v>
      </c>
      <c r="K41" s="121"/>
      <c r="L41" s="121"/>
      <c r="M41" s="121"/>
      <c r="N41" s="228"/>
      <c r="O41" s="228"/>
      <c r="P41" s="228"/>
      <c r="Q41" s="121"/>
      <c r="R41" s="121"/>
      <c r="S41" s="121"/>
      <c r="T41" s="121"/>
      <c r="U41" s="121"/>
      <c r="V41" s="12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row>
    <row r="42" spans="1:75" s="28" customFormat="1" ht="18.75" customHeight="1" x14ac:dyDescent="0.25">
      <c r="A42" s="472" t="s">
        <v>115</v>
      </c>
      <c r="B42" s="472"/>
      <c r="C42" s="472"/>
      <c r="D42" s="472"/>
      <c r="E42" s="85">
        <v>2000</v>
      </c>
      <c r="F42" s="85" t="s">
        <v>9</v>
      </c>
      <c r="G42" s="217"/>
      <c r="H42" s="123">
        <f t="shared" si="0"/>
        <v>5044463.6399999997</v>
      </c>
      <c r="I42" s="123">
        <f t="shared" si="0"/>
        <v>4974342.2</v>
      </c>
      <c r="J42" s="123">
        <f t="shared" si="0"/>
        <v>5163911.5</v>
      </c>
      <c r="K42" s="123">
        <f>K43+K80+K51</f>
        <v>0</v>
      </c>
      <c r="L42" s="123">
        <f>L43+L80+L51</f>
        <v>0</v>
      </c>
      <c r="M42" s="123">
        <f>M43+M80+M51</f>
        <v>0</v>
      </c>
      <c r="N42" s="123">
        <f t="shared" ref="N42:V42" si="2">N43+N80</f>
        <v>4491943.21</v>
      </c>
      <c r="O42" s="123">
        <f t="shared" si="2"/>
        <v>4453332.2</v>
      </c>
      <c r="P42" s="123">
        <f t="shared" si="2"/>
        <v>4623056.5</v>
      </c>
      <c r="Q42" s="123">
        <f t="shared" si="2"/>
        <v>0</v>
      </c>
      <c r="R42" s="123">
        <f t="shared" si="2"/>
        <v>0</v>
      </c>
      <c r="S42" s="123">
        <f t="shared" si="2"/>
        <v>0</v>
      </c>
      <c r="T42" s="123">
        <f t="shared" si="2"/>
        <v>552520.43000000005</v>
      </c>
      <c r="U42" s="123">
        <f t="shared" si="2"/>
        <v>521010</v>
      </c>
      <c r="V42" s="123">
        <f t="shared" si="2"/>
        <v>540855</v>
      </c>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row>
    <row r="43" spans="1:75" s="28" customFormat="1" ht="22.5" customHeight="1" x14ac:dyDescent="0.25">
      <c r="A43" s="506" t="s">
        <v>116</v>
      </c>
      <c r="B43" s="506"/>
      <c r="C43" s="506"/>
      <c r="D43" s="506"/>
      <c r="E43" s="109">
        <v>2100</v>
      </c>
      <c r="F43" s="109" t="s">
        <v>9</v>
      </c>
      <c r="G43" s="225"/>
      <c r="H43" s="229">
        <f t="shared" si="0"/>
        <v>3993106.29</v>
      </c>
      <c r="I43" s="229">
        <f t="shared" si="0"/>
        <v>4314225</v>
      </c>
      <c r="J43" s="229">
        <f t="shared" si="0"/>
        <v>4605856</v>
      </c>
      <c r="K43" s="234">
        <f>K44+K45</f>
        <v>0</v>
      </c>
      <c r="L43" s="234">
        <f>L44+L45</f>
        <v>0</v>
      </c>
      <c r="M43" s="234">
        <f>M44+M45</f>
        <v>0</v>
      </c>
      <c r="N43" s="234">
        <f>N44+N45+N51+N48</f>
        <v>3440585.86</v>
      </c>
      <c r="O43" s="234">
        <f>O44+O45+O51+O48</f>
        <v>3793215</v>
      </c>
      <c r="P43" s="234">
        <f>P44+P45+P51+P48</f>
        <v>4065001</v>
      </c>
      <c r="Q43" s="234">
        <f>Q44+Q45</f>
        <v>0</v>
      </c>
      <c r="R43" s="234">
        <f>R44+R45</f>
        <v>0</v>
      </c>
      <c r="S43" s="234">
        <f>S44+S45</f>
        <v>0</v>
      </c>
      <c r="T43" s="234">
        <f>T44+T45+T51</f>
        <v>552520.43000000005</v>
      </c>
      <c r="U43" s="234">
        <f>U44+U45+U51</f>
        <v>521010</v>
      </c>
      <c r="V43" s="234">
        <f>V44+V45+V51</f>
        <v>540855</v>
      </c>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row>
    <row r="44" spans="1:75" s="28" customFormat="1" ht="22.5" customHeight="1" x14ac:dyDescent="0.25">
      <c r="A44" s="506" t="s">
        <v>117</v>
      </c>
      <c r="B44" s="506"/>
      <c r="C44" s="506"/>
      <c r="D44" s="506"/>
      <c r="E44" s="109">
        <v>2110</v>
      </c>
      <c r="F44" s="109">
        <v>111</v>
      </c>
      <c r="G44" s="225">
        <v>211</v>
      </c>
      <c r="H44" s="229">
        <f t="shared" si="0"/>
        <v>3034611</v>
      </c>
      <c r="I44" s="229">
        <f t="shared" si="0"/>
        <v>3280537</v>
      </c>
      <c r="J44" s="229">
        <f t="shared" si="0"/>
        <v>3504524</v>
      </c>
      <c r="K44" s="229"/>
      <c r="L44" s="229"/>
      <c r="M44" s="229"/>
      <c r="N44" s="232">
        <v>2610281</v>
      </c>
      <c r="O44" s="232">
        <v>2880376</v>
      </c>
      <c r="P44" s="232">
        <v>3089121</v>
      </c>
      <c r="Q44" s="229"/>
      <c r="R44" s="229"/>
      <c r="S44" s="229"/>
      <c r="T44" s="232">
        <f>461230-36900</f>
        <v>424330</v>
      </c>
      <c r="U44" s="232">
        <v>400161</v>
      </c>
      <c r="V44" s="232">
        <v>415403</v>
      </c>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row>
    <row r="45" spans="1:75" s="28" customFormat="1" ht="22.5" customHeight="1" x14ac:dyDescent="0.25">
      <c r="A45" s="271" t="s">
        <v>324</v>
      </c>
      <c r="B45" s="272"/>
      <c r="C45" s="272"/>
      <c r="D45" s="273"/>
      <c r="E45" s="109">
        <v>2111</v>
      </c>
      <c r="F45" s="109">
        <v>111</v>
      </c>
      <c r="G45" s="225">
        <v>266</v>
      </c>
      <c r="H45" s="121">
        <f t="shared" si="0"/>
        <v>22000</v>
      </c>
      <c r="I45" s="121">
        <f>L45+O45+R45+U45</f>
        <v>0</v>
      </c>
      <c r="J45" s="121">
        <f>M45+P45+S45+V45</f>
        <v>0</v>
      </c>
      <c r="K45" s="121"/>
      <c r="L45" s="121"/>
      <c r="M45" s="121"/>
      <c r="N45" s="232">
        <v>20000</v>
      </c>
      <c r="O45" s="232"/>
      <c r="P45" s="232"/>
      <c r="Q45" s="121"/>
      <c r="R45" s="121"/>
      <c r="S45" s="121"/>
      <c r="T45" s="232">
        <v>2000</v>
      </c>
      <c r="U45" s="232"/>
      <c r="V45" s="232"/>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row>
    <row r="46" spans="1:75" s="28" customFormat="1" ht="22.5" customHeight="1" x14ac:dyDescent="0.25">
      <c r="A46" s="271" t="s">
        <v>325</v>
      </c>
      <c r="B46" s="272"/>
      <c r="C46" s="272"/>
      <c r="D46" s="273"/>
      <c r="E46" s="109">
        <v>2112</v>
      </c>
      <c r="F46" s="109">
        <v>112</v>
      </c>
      <c r="G46" s="225">
        <v>212</v>
      </c>
      <c r="H46" s="121">
        <f t="shared" si="0"/>
        <v>0</v>
      </c>
      <c r="I46" s="121">
        <f t="shared" si="0"/>
        <v>0</v>
      </c>
      <c r="J46" s="121">
        <f t="shared" si="0"/>
        <v>0</v>
      </c>
      <c r="K46" s="121"/>
      <c r="L46" s="121"/>
      <c r="M46" s="121"/>
      <c r="N46" s="121"/>
      <c r="O46" s="121"/>
      <c r="P46" s="121"/>
      <c r="Q46" s="121"/>
      <c r="R46" s="121"/>
      <c r="S46" s="121"/>
      <c r="T46" s="121"/>
      <c r="U46" s="121"/>
      <c r="V46" s="12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row>
    <row r="47" spans="1:75" s="28" customFormat="1" ht="34.5" customHeight="1" x14ac:dyDescent="0.25">
      <c r="A47" s="510" t="s">
        <v>326</v>
      </c>
      <c r="B47" s="511"/>
      <c r="C47" s="511"/>
      <c r="D47" s="512"/>
      <c r="E47" s="109">
        <v>2113</v>
      </c>
      <c r="F47" s="109">
        <v>112</v>
      </c>
      <c r="G47" s="225">
        <v>214</v>
      </c>
      <c r="H47" s="121">
        <f t="shared" si="0"/>
        <v>0</v>
      </c>
      <c r="I47" s="121">
        <f t="shared" si="0"/>
        <v>0</v>
      </c>
      <c r="J47" s="121">
        <f t="shared" si="0"/>
        <v>0</v>
      </c>
      <c r="K47" s="121"/>
      <c r="L47" s="121"/>
      <c r="M47" s="121"/>
      <c r="N47" s="121"/>
      <c r="O47" s="121"/>
      <c r="P47" s="121"/>
      <c r="Q47" s="121"/>
      <c r="R47" s="121"/>
      <c r="S47" s="121"/>
      <c r="T47" s="121"/>
      <c r="U47" s="121"/>
      <c r="V47" s="12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row>
    <row r="48" spans="1:75" s="28" customFormat="1" ht="25.5" customHeight="1" x14ac:dyDescent="0.25">
      <c r="A48" s="506" t="s">
        <v>118</v>
      </c>
      <c r="B48" s="506"/>
      <c r="C48" s="506"/>
      <c r="D48" s="506"/>
      <c r="E48" s="109">
        <v>2120</v>
      </c>
      <c r="F48" s="109">
        <v>112</v>
      </c>
      <c r="G48" s="225">
        <v>226</v>
      </c>
      <c r="H48" s="121">
        <f t="shared" si="0"/>
        <v>22000</v>
      </c>
      <c r="I48" s="121">
        <f t="shared" si="0"/>
        <v>33000</v>
      </c>
      <c r="J48" s="121">
        <f t="shared" si="0"/>
        <v>33000</v>
      </c>
      <c r="K48" s="121"/>
      <c r="L48" s="121"/>
      <c r="M48" s="121"/>
      <c r="N48" s="228">
        <v>22000</v>
      </c>
      <c r="O48" s="228">
        <v>33000</v>
      </c>
      <c r="P48" s="228">
        <v>33000</v>
      </c>
      <c r="Q48" s="121"/>
      <c r="R48" s="121"/>
      <c r="S48" s="121"/>
      <c r="T48" s="121"/>
      <c r="U48" s="121"/>
      <c r="V48" s="12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row>
    <row r="49" spans="1:75" s="28" customFormat="1" ht="25.5" customHeight="1" x14ac:dyDescent="0.25">
      <c r="A49" s="271" t="s">
        <v>300</v>
      </c>
      <c r="B49" s="272"/>
      <c r="C49" s="272"/>
      <c r="D49" s="273"/>
      <c r="E49" s="109">
        <v>2121</v>
      </c>
      <c r="F49" s="109">
        <v>112</v>
      </c>
      <c r="G49" s="225">
        <v>266</v>
      </c>
      <c r="H49" s="121">
        <f t="shared" si="0"/>
        <v>0</v>
      </c>
      <c r="I49" s="121">
        <f t="shared" si="0"/>
        <v>0</v>
      </c>
      <c r="J49" s="121">
        <f t="shared" si="0"/>
        <v>0</v>
      </c>
      <c r="K49" s="121"/>
      <c r="L49" s="121"/>
      <c r="M49" s="121"/>
      <c r="N49" s="121"/>
      <c r="O49" s="121"/>
      <c r="P49" s="121"/>
      <c r="Q49" s="121"/>
      <c r="R49" s="121"/>
      <c r="S49" s="121"/>
      <c r="T49" s="121"/>
      <c r="U49" s="121"/>
      <c r="V49" s="12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row>
    <row r="50" spans="1:75" s="28" customFormat="1" ht="22.5" customHeight="1" x14ac:dyDescent="0.25">
      <c r="A50" s="506" t="s">
        <v>119</v>
      </c>
      <c r="B50" s="506"/>
      <c r="C50" s="506"/>
      <c r="D50" s="506"/>
      <c r="E50" s="109">
        <v>2130</v>
      </c>
      <c r="F50" s="109">
        <v>113</v>
      </c>
      <c r="G50" s="225"/>
      <c r="H50" s="121">
        <f t="shared" si="0"/>
        <v>0</v>
      </c>
      <c r="I50" s="121">
        <f t="shared" si="0"/>
        <v>0</v>
      </c>
      <c r="J50" s="121">
        <f t="shared" si="0"/>
        <v>0</v>
      </c>
      <c r="K50" s="121"/>
      <c r="L50" s="121"/>
      <c r="M50" s="121"/>
      <c r="N50" s="121"/>
      <c r="O50" s="121"/>
      <c r="P50" s="121"/>
      <c r="Q50" s="121"/>
      <c r="R50" s="121"/>
      <c r="S50" s="121"/>
      <c r="T50" s="121"/>
      <c r="U50" s="121"/>
      <c r="V50" s="12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row>
    <row r="51" spans="1:75" s="28" customFormat="1" ht="50.25" customHeight="1" x14ac:dyDescent="0.25">
      <c r="A51" s="506" t="s">
        <v>120</v>
      </c>
      <c r="B51" s="506"/>
      <c r="C51" s="506"/>
      <c r="D51" s="506"/>
      <c r="E51" s="109">
        <v>2140</v>
      </c>
      <c r="F51" s="109">
        <v>119</v>
      </c>
      <c r="G51" s="225"/>
      <c r="H51" s="121">
        <f t="shared" si="0"/>
        <v>914495.29</v>
      </c>
      <c r="I51" s="121">
        <f t="shared" si="0"/>
        <v>1000688</v>
      </c>
      <c r="J51" s="121">
        <f t="shared" si="0"/>
        <v>1068332</v>
      </c>
      <c r="K51" s="121"/>
      <c r="L51" s="121"/>
      <c r="M51" s="121"/>
      <c r="N51" s="232">
        <v>788304.86</v>
      </c>
      <c r="O51" s="232">
        <v>879839</v>
      </c>
      <c r="P51" s="232">
        <v>942880</v>
      </c>
      <c r="Q51" s="121"/>
      <c r="R51" s="121"/>
      <c r="S51" s="121"/>
      <c r="T51" s="232">
        <f>139290.43-2000-11100</f>
        <v>126190.43</v>
      </c>
      <c r="U51" s="232">
        <v>120849</v>
      </c>
      <c r="V51" s="232">
        <v>125452</v>
      </c>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row>
    <row r="52" spans="1:75" s="28" customFormat="1" ht="22.5" customHeight="1" x14ac:dyDescent="0.25">
      <c r="A52" s="319" t="s">
        <v>121</v>
      </c>
      <c r="B52" s="319"/>
      <c r="C52" s="319"/>
      <c r="D52" s="319"/>
      <c r="E52" s="84">
        <v>2141</v>
      </c>
      <c r="F52" s="84">
        <v>119</v>
      </c>
      <c r="G52" s="200">
        <v>213</v>
      </c>
      <c r="H52" s="121">
        <f t="shared" si="0"/>
        <v>914495.29</v>
      </c>
      <c r="I52" s="121">
        <f t="shared" si="0"/>
        <v>1000688</v>
      </c>
      <c r="J52" s="121">
        <f t="shared" si="0"/>
        <v>1068332</v>
      </c>
      <c r="K52" s="123">
        <f>K51</f>
        <v>0</v>
      </c>
      <c r="L52" s="123">
        <f>L51</f>
        <v>0</v>
      </c>
      <c r="M52" s="123">
        <f>M51</f>
        <v>0</v>
      </c>
      <c r="N52" s="123">
        <f t="shared" ref="N52:V52" si="3">N51</f>
        <v>788304.86</v>
      </c>
      <c r="O52" s="123">
        <f t="shared" si="3"/>
        <v>879839</v>
      </c>
      <c r="P52" s="123">
        <f t="shared" si="3"/>
        <v>942880</v>
      </c>
      <c r="Q52" s="123">
        <f t="shared" si="3"/>
        <v>0</v>
      </c>
      <c r="R52" s="123">
        <f t="shared" si="3"/>
        <v>0</v>
      </c>
      <c r="S52" s="123">
        <f t="shared" si="3"/>
        <v>0</v>
      </c>
      <c r="T52" s="123">
        <f t="shared" si="3"/>
        <v>126190.43</v>
      </c>
      <c r="U52" s="123">
        <f t="shared" si="3"/>
        <v>120849</v>
      </c>
      <c r="V52" s="123">
        <f t="shared" si="3"/>
        <v>125452</v>
      </c>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row>
    <row r="53" spans="1:75" s="28" customFormat="1" ht="15.75" customHeight="1" x14ac:dyDescent="0.25">
      <c r="A53" s="319" t="s">
        <v>122</v>
      </c>
      <c r="B53" s="319"/>
      <c r="C53" s="319"/>
      <c r="D53" s="319"/>
      <c r="E53" s="84">
        <v>2142</v>
      </c>
      <c r="F53" s="84">
        <v>119</v>
      </c>
      <c r="G53" s="200"/>
      <c r="H53" s="121">
        <f t="shared" si="0"/>
        <v>0</v>
      </c>
      <c r="I53" s="121">
        <f t="shared" si="0"/>
        <v>0</v>
      </c>
      <c r="J53" s="121">
        <f t="shared" si="0"/>
        <v>0</v>
      </c>
      <c r="K53" s="121"/>
      <c r="L53" s="121"/>
      <c r="M53" s="121"/>
      <c r="N53" s="121"/>
      <c r="O53" s="121"/>
      <c r="P53" s="121"/>
      <c r="Q53" s="121"/>
      <c r="R53" s="121"/>
      <c r="S53" s="121"/>
      <c r="T53" s="121"/>
      <c r="U53" s="121"/>
      <c r="V53" s="12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row>
    <row r="54" spans="1:75" s="28" customFormat="1" ht="18.75" customHeight="1" x14ac:dyDescent="0.25">
      <c r="A54" s="319" t="s">
        <v>123</v>
      </c>
      <c r="B54" s="319"/>
      <c r="C54" s="319"/>
      <c r="D54" s="319"/>
      <c r="E54" s="84">
        <v>2200</v>
      </c>
      <c r="F54" s="84">
        <v>300</v>
      </c>
      <c r="G54" s="200"/>
      <c r="H54" s="121">
        <f t="shared" si="0"/>
        <v>0</v>
      </c>
      <c r="I54" s="121">
        <f t="shared" si="0"/>
        <v>0</v>
      </c>
      <c r="J54" s="121">
        <f t="shared" si="0"/>
        <v>0</v>
      </c>
      <c r="K54" s="121"/>
      <c r="L54" s="121"/>
      <c r="M54" s="121"/>
      <c r="N54" s="121"/>
      <c r="O54" s="121"/>
      <c r="P54" s="121"/>
      <c r="Q54" s="121"/>
      <c r="R54" s="121"/>
      <c r="S54" s="121"/>
      <c r="T54" s="121"/>
      <c r="U54" s="121"/>
      <c r="V54" s="12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row>
    <row r="55" spans="1:75" s="28" customFormat="1" ht="21.75" customHeight="1" x14ac:dyDescent="0.25">
      <c r="A55" s="319" t="s">
        <v>124</v>
      </c>
      <c r="B55" s="319"/>
      <c r="C55" s="319"/>
      <c r="D55" s="319"/>
      <c r="E55" s="84">
        <v>2210</v>
      </c>
      <c r="F55" s="84">
        <v>320</v>
      </c>
      <c r="G55" s="200"/>
      <c r="H55" s="121">
        <f t="shared" si="0"/>
        <v>0</v>
      </c>
      <c r="I55" s="121">
        <f t="shared" si="0"/>
        <v>0</v>
      </c>
      <c r="J55" s="121">
        <f t="shared" si="0"/>
        <v>0</v>
      </c>
      <c r="K55" s="121"/>
      <c r="L55" s="121"/>
      <c r="M55" s="121"/>
      <c r="N55" s="121"/>
      <c r="O55" s="121"/>
      <c r="P55" s="121"/>
      <c r="Q55" s="121"/>
      <c r="R55" s="121"/>
      <c r="S55" s="121"/>
      <c r="T55" s="121"/>
      <c r="U55" s="121"/>
      <c r="V55" s="12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row>
    <row r="56" spans="1:75" s="28" customFormat="1" ht="33.75" customHeight="1" x14ac:dyDescent="0.25">
      <c r="A56" s="319" t="s">
        <v>125</v>
      </c>
      <c r="B56" s="319"/>
      <c r="C56" s="319"/>
      <c r="D56" s="319"/>
      <c r="E56" s="84">
        <v>2211</v>
      </c>
      <c r="F56" s="84">
        <v>321</v>
      </c>
      <c r="G56" s="200"/>
      <c r="H56" s="121">
        <f t="shared" si="0"/>
        <v>0</v>
      </c>
      <c r="I56" s="121">
        <f t="shared" si="0"/>
        <v>0</v>
      </c>
      <c r="J56" s="121">
        <f t="shared" si="0"/>
        <v>0</v>
      </c>
      <c r="K56" s="121"/>
      <c r="L56" s="121"/>
      <c r="M56" s="121"/>
      <c r="N56" s="121"/>
      <c r="O56" s="121"/>
      <c r="P56" s="121"/>
      <c r="Q56" s="121"/>
      <c r="R56" s="121"/>
      <c r="S56" s="121"/>
      <c r="T56" s="121"/>
      <c r="U56" s="121"/>
      <c r="V56" s="12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row>
    <row r="57" spans="1:75" s="28" customFormat="1" ht="11.1" customHeight="1" x14ac:dyDescent="0.25">
      <c r="A57" s="319"/>
      <c r="B57" s="319"/>
      <c r="C57" s="319"/>
      <c r="D57" s="319"/>
      <c r="E57" s="76"/>
      <c r="F57" s="76"/>
      <c r="G57" s="200"/>
      <c r="H57" s="121">
        <f t="shared" si="0"/>
        <v>0</v>
      </c>
      <c r="I57" s="121">
        <f t="shared" si="0"/>
        <v>0</v>
      </c>
      <c r="J57" s="121">
        <f t="shared" si="0"/>
        <v>0</v>
      </c>
      <c r="K57" s="121"/>
      <c r="L57" s="121"/>
      <c r="M57" s="121"/>
      <c r="N57" s="121"/>
      <c r="O57" s="121"/>
      <c r="P57" s="121"/>
      <c r="Q57" s="121"/>
      <c r="R57" s="121"/>
      <c r="S57" s="121"/>
      <c r="T57" s="121"/>
      <c r="U57" s="121"/>
      <c r="V57" s="12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1:75" s="28" customFormat="1" ht="54.75" customHeight="1" x14ac:dyDescent="0.25">
      <c r="A58" s="319" t="s">
        <v>126</v>
      </c>
      <c r="B58" s="319"/>
      <c r="C58" s="319"/>
      <c r="D58" s="319"/>
      <c r="E58" s="84">
        <v>2220</v>
      </c>
      <c r="F58" s="84">
        <v>340</v>
      </c>
      <c r="G58" s="200"/>
      <c r="H58" s="121">
        <f t="shared" si="0"/>
        <v>0</v>
      </c>
      <c r="I58" s="121">
        <f t="shared" si="0"/>
        <v>0</v>
      </c>
      <c r="J58" s="121">
        <f t="shared" si="0"/>
        <v>0</v>
      </c>
      <c r="K58" s="121"/>
      <c r="L58" s="121"/>
      <c r="M58" s="121"/>
      <c r="N58" s="121"/>
      <c r="O58" s="121"/>
      <c r="P58" s="121"/>
      <c r="Q58" s="121"/>
      <c r="R58" s="121"/>
      <c r="S58" s="121"/>
      <c r="T58" s="121"/>
      <c r="U58" s="121"/>
      <c r="V58" s="12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row>
    <row r="59" spans="1:75" s="28" customFormat="1" ht="66.75" customHeight="1" x14ac:dyDescent="0.25">
      <c r="A59" s="319" t="s">
        <v>127</v>
      </c>
      <c r="B59" s="319"/>
      <c r="C59" s="319"/>
      <c r="D59" s="319"/>
      <c r="E59" s="84">
        <v>2230</v>
      </c>
      <c r="F59" s="84">
        <v>350</v>
      </c>
      <c r="G59" s="200"/>
      <c r="H59" s="121">
        <f t="shared" si="0"/>
        <v>0</v>
      </c>
      <c r="I59" s="121">
        <f t="shared" si="0"/>
        <v>0</v>
      </c>
      <c r="J59" s="121">
        <f t="shared" si="0"/>
        <v>0</v>
      </c>
      <c r="K59" s="121"/>
      <c r="L59" s="121"/>
      <c r="M59" s="121"/>
      <c r="N59" s="121"/>
      <c r="O59" s="121"/>
      <c r="P59" s="121"/>
      <c r="Q59" s="121"/>
      <c r="R59" s="121"/>
      <c r="S59" s="121"/>
      <c r="T59" s="121"/>
      <c r="U59" s="121"/>
      <c r="V59" s="12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row>
    <row r="60" spans="1:75" s="28" customFormat="1" ht="26.25" customHeight="1" x14ac:dyDescent="0.25">
      <c r="A60" s="319" t="s">
        <v>400</v>
      </c>
      <c r="B60" s="319"/>
      <c r="C60" s="319"/>
      <c r="D60" s="319"/>
      <c r="E60" s="84">
        <v>2240</v>
      </c>
      <c r="F60" s="84">
        <v>360</v>
      </c>
      <c r="G60" s="200"/>
      <c r="H60" s="121">
        <f t="shared" si="0"/>
        <v>0</v>
      </c>
      <c r="I60" s="121">
        <f t="shared" si="0"/>
        <v>0</v>
      </c>
      <c r="J60" s="121">
        <f t="shared" si="0"/>
        <v>0</v>
      </c>
      <c r="K60" s="121"/>
      <c r="L60" s="121"/>
      <c r="M60" s="121"/>
      <c r="N60" s="121"/>
      <c r="O60" s="121"/>
      <c r="P60" s="121"/>
      <c r="Q60" s="121"/>
      <c r="R60" s="121"/>
      <c r="S60" s="121"/>
      <c r="T60" s="121"/>
      <c r="U60" s="121"/>
      <c r="V60" s="12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row>
    <row r="61" spans="1:75" s="28" customFormat="1" ht="19.5" customHeight="1" x14ac:dyDescent="0.25">
      <c r="A61" s="319" t="s">
        <v>129</v>
      </c>
      <c r="B61" s="319"/>
      <c r="C61" s="319"/>
      <c r="D61" s="319"/>
      <c r="E61" s="84">
        <v>2300</v>
      </c>
      <c r="F61" s="84">
        <v>850</v>
      </c>
      <c r="G61" s="200"/>
      <c r="H61" s="121">
        <f t="shared" si="0"/>
        <v>0</v>
      </c>
      <c r="I61" s="121">
        <f>L61+O61+R61+U61</f>
        <v>0</v>
      </c>
      <c r="J61" s="121">
        <f t="shared" si="0"/>
        <v>0</v>
      </c>
      <c r="K61" s="123">
        <f t="shared" ref="K61:S61" si="4">K62+K63+K66+K64+K65</f>
        <v>0</v>
      </c>
      <c r="L61" s="123">
        <f t="shared" si="4"/>
        <v>0</v>
      </c>
      <c r="M61" s="123">
        <f t="shared" si="4"/>
        <v>0</v>
      </c>
      <c r="N61" s="123">
        <f t="shared" si="4"/>
        <v>0</v>
      </c>
      <c r="O61" s="123">
        <f t="shared" si="4"/>
        <v>0</v>
      </c>
      <c r="P61" s="123">
        <f t="shared" si="4"/>
        <v>0</v>
      </c>
      <c r="Q61" s="123">
        <f t="shared" si="4"/>
        <v>0</v>
      </c>
      <c r="R61" s="123">
        <f t="shared" si="4"/>
        <v>0</v>
      </c>
      <c r="S61" s="123">
        <f t="shared" si="4"/>
        <v>0</v>
      </c>
      <c r="T61" s="123">
        <f>T62+T63+T66+T64+T65</f>
        <v>0</v>
      </c>
      <c r="U61" s="123">
        <f>U62+U63+U66+U64+U65</f>
        <v>0</v>
      </c>
      <c r="V61" s="123">
        <f>V62+V63+V66+V64+V65</f>
        <v>0</v>
      </c>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row>
    <row r="62" spans="1:75" s="28" customFormat="1" ht="32.25" customHeight="1" x14ac:dyDescent="0.25">
      <c r="A62" s="319" t="s">
        <v>130</v>
      </c>
      <c r="B62" s="319"/>
      <c r="C62" s="319"/>
      <c r="D62" s="319"/>
      <c r="E62" s="84">
        <v>2310</v>
      </c>
      <c r="F62" s="84">
        <v>851</v>
      </c>
      <c r="G62" s="200">
        <v>291</v>
      </c>
      <c r="H62" s="121">
        <f t="shared" si="0"/>
        <v>0</v>
      </c>
      <c r="I62" s="121">
        <f t="shared" si="0"/>
        <v>0</v>
      </c>
      <c r="J62" s="121">
        <f t="shared" si="0"/>
        <v>0</v>
      </c>
      <c r="K62" s="121"/>
      <c r="L62" s="121"/>
      <c r="M62" s="121"/>
      <c r="N62" s="121"/>
      <c r="O62" s="121"/>
      <c r="P62" s="121"/>
      <c r="Q62" s="121"/>
      <c r="R62" s="121"/>
      <c r="S62" s="121"/>
      <c r="T62" s="121"/>
      <c r="U62" s="121"/>
      <c r="V62" s="12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row>
    <row r="63" spans="1:75" s="28" customFormat="1" ht="42" customHeight="1" x14ac:dyDescent="0.25">
      <c r="A63" s="319" t="s">
        <v>131</v>
      </c>
      <c r="B63" s="319"/>
      <c r="C63" s="319"/>
      <c r="D63" s="319"/>
      <c r="E63" s="84">
        <v>2320</v>
      </c>
      <c r="F63" s="84">
        <v>852</v>
      </c>
      <c r="G63" s="200">
        <v>291</v>
      </c>
      <c r="H63" s="121">
        <f t="shared" si="0"/>
        <v>0</v>
      </c>
      <c r="I63" s="121">
        <f t="shared" si="0"/>
        <v>0</v>
      </c>
      <c r="J63" s="121">
        <f t="shared" si="0"/>
        <v>0</v>
      </c>
      <c r="K63" s="121"/>
      <c r="L63" s="121"/>
      <c r="M63" s="121"/>
      <c r="N63" s="121"/>
      <c r="O63" s="121"/>
      <c r="P63" s="121"/>
      <c r="Q63" s="121"/>
      <c r="R63" s="121"/>
      <c r="S63" s="121"/>
      <c r="T63" s="121"/>
      <c r="U63" s="121"/>
      <c r="V63" s="12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75" s="28" customFormat="1" ht="42" customHeight="1" x14ac:dyDescent="0.25">
      <c r="A64" s="319" t="s">
        <v>132</v>
      </c>
      <c r="B64" s="319"/>
      <c r="C64" s="319"/>
      <c r="D64" s="319"/>
      <c r="E64" s="84"/>
      <c r="F64" s="84">
        <v>853</v>
      </c>
      <c r="G64" s="200">
        <v>292</v>
      </c>
      <c r="H64" s="121">
        <f t="shared" si="0"/>
        <v>0</v>
      </c>
      <c r="I64" s="121">
        <f t="shared" si="0"/>
        <v>0</v>
      </c>
      <c r="J64" s="121">
        <f t="shared" si="0"/>
        <v>0</v>
      </c>
      <c r="K64" s="121"/>
      <c r="L64" s="121"/>
      <c r="M64" s="121"/>
      <c r="N64" s="121"/>
      <c r="O64" s="121"/>
      <c r="P64" s="121"/>
      <c r="Q64" s="121"/>
      <c r="R64" s="121"/>
      <c r="S64" s="121"/>
      <c r="T64" s="121"/>
      <c r="U64" s="121"/>
      <c r="V64" s="12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row>
    <row r="65" spans="1:75" s="28" customFormat="1" ht="42" customHeight="1" x14ac:dyDescent="0.25">
      <c r="A65" s="326" t="s">
        <v>308</v>
      </c>
      <c r="B65" s="327"/>
      <c r="C65" s="327"/>
      <c r="D65" s="328"/>
      <c r="E65" s="84"/>
      <c r="F65" s="84">
        <v>853</v>
      </c>
      <c r="G65" s="200">
        <v>293</v>
      </c>
      <c r="H65" s="121">
        <f t="shared" si="0"/>
        <v>0</v>
      </c>
      <c r="I65" s="121">
        <f t="shared" si="0"/>
        <v>0</v>
      </c>
      <c r="J65" s="121">
        <f t="shared" si="0"/>
        <v>0</v>
      </c>
      <c r="K65" s="121"/>
      <c r="L65" s="121"/>
      <c r="M65" s="121"/>
      <c r="N65" s="121"/>
      <c r="O65" s="121"/>
      <c r="P65" s="121"/>
      <c r="Q65" s="121"/>
      <c r="R65" s="121"/>
      <c r="S65" s="121"/>
      <c r="T65" s="121"/>
      <c r="U65" s="121"/>
      <c r="V65" s="12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row>
    <row r="66" spans="1:75" s="28" customFormat="1" ht="31.5" customHeight="1" x14ac:dyDescent="0.25">
      <c r="A66" s="319" t="s">
        <v>132</v>
      </c>
      <c r="B66" s="319"/>
      <c r="C66" s="319"/>
      <c r="D66" s="319"/>
      <c r="E66" s="84">
        <v>2330</v>
      </c>
      <c r="F66" s="84">
        <v>853</v>
      </c>
      <c r="G66" s="200">
        <v>295</v>
      </c>
      <c r="H66" s="121">
        <f t="shared" si="0"/>
        <v>0</v>
      </c>
      <c r="I66" s="121">
        <f t="shared" si="0"/>
        <v>0</v>
      </c>
      <c r="J66" s="121">
        <f t="shared" si="0"/>
        <v>0</v>
      </c>
      <c r="K66" s="121"/>
      <c r="L66" s="121"/>
      <c r="M66" s="121"/>
      <c r="N66" s="121"/>
      <c r="O66" s="121"/>
      <c r="P66" s="121"/>
      <c r="Q66" s="121"/>
      <c r="R66" s="121"/>
      <c r="S66" s="121"/>
      <c r="T66" s="121"/>
      <c r="U66" s="121"/>
      <c r="V66" s="12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28" customFormat="1" ht="34.5" customHeight="1" x14ac:dyDescent="0.25">
      <c r="A67" s="319" t="s">
        <v>133</v>
      </c>
      <c r="B67" s="319"/>
      <c r="C67" s="319"/>
      <c r="D67" s="319"/>
      <c r="E67" s="84">
        <v>2400</v>
      </c>
      <c r="F67" s="84" t="s">
        <v>9</v>
      </c>
      <c r="G67" s="200"/>
      <c r="H67" s="121">
        <f t="shared" si="0"/>
        <v>0</v>
      </c>
      <c r="I67" s="121">
        <f t="shared" si="0"/>
        <v>0</v>
      </c>
      <c r="J67" s="121">
        <f t="shared" si="0"/>
        <v>0</v>
      </c>
      <c r="K67" s="121"/>
      <c r="L67" s="121"/>
      <c r="M67" s="121"/>
      <c r="N67" s="121"/>
      <c r="O67" s="121"/>
      <c r="P67" s="121"/>
      <c r="Q67" s="121"/>
      <c r="R67" s="121"/>
      <c r="S67" s="121"/>
      <c r="T67" s="121"/>
      <c r="U67" s="121"/>
      <c r="V67" s="12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28" customFormat="1" ht="42.75" customHeight="1" x14ac:dyDescent="0.25">
      <c r="A68" s="319" t="s">
        <v>401</v>
      </c>
      <c r="B68" s="319"/>
      <c r="C68" s="319"/>
      <c r="D68" s="319"/>
      <c r="E68" s="84">
        <v>2410</v>
      </c>
      <c r="F68" s="84">
        <v>613</v>
      </c>
      <c r="G68" s="200"/>
      <c r="H68" s="121">
        <f t="shared" si="0"/>
        <v>0</v>
      </c>
      <c r="I68" s="121">
        <f t="shared" si="0"/>
        <v>0</v>
      </c>
      <c r="J68" s="121">
        <f t="shared" si="0"/>
        <v>0</v>
      </c>
      <c r="K68" s="121"/>
      <c r="L68" s="121"/>
      <c r="M68" s="121"/>
      <c r="N68" s="121"/>
      <c r="O68" s="121"/>
      <c r="P68" s="121"/>
      <c r="Q68" s="121"/>
      <c r="R68" s="121"/>
      <c r="S68" s="121"/>
      <c r="T68" s="121"/>
      <c r="U68" s="121"/>
      <c r="V68" s="12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28" customFormat="1" ht="19.5" customHeight="1" x14ac:dyDescent="0.25">
      <c r="A69" s="319" t="s">
        <v>402</v>
      </c>
      <c r="B69" s="319"/>
      <c r="C69" s="319"/>
      <c r="D69" s="319"/>
      <c r="E69" s="84">
        <v>2420</v>
      </c>
      <c r="F69" s="84">
        <v>623</v>
      </c>
      <c r="G69" s="200"/>
      <c r="H69" s="121">
        <f t="shared" si="0"/>
        <v>0</v>
      </c>
      <c r="I69" s="121">
        <f t="shared" si="0"/>
        <v>0</v>
      </c>
      <c r="J69" s="121">
        <f t="shared" si="0"/>
        <v>0</v>
      </c>
      <c r="K69" s="121"/>
      <c r="L69" s="121"/>
      <c r="M69" s="121"/>
      <c r="N69" s="121"/>
      <c r="O69" s="121"/>
      <c r="P69" s="121"/>
      <c r="Q69" s="121"/>
      <c r="R69" s="121"/>
      <c r="S69" s="121"/>
      <c r="T69" s="121"/>
      <c r="U69" s="121"/>
      <c r="V69" s="12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28" customFormat="1" ht="41.25" customHeight="1" x14ac:dyDescent="0.25">
      <c r="A70" s="319" t="s">
        <v>403</v>
      </c>
      <c r="B70" s="319"/>
      <c r="C70" s="319"/>
      <c r="D70" s="319"/>
      <c r="E70" s="84">
        <v>2430</v>
      </c>
      <c r="F70" s="84">
        <v>634</v>
      </c>
      <c r="G70" s="200"/>
      <c r="H70" s="121">
        <f t="shared" si="0"/>
        <v>0</v>
      </c>
      <c r="I70" s="121">
        <f t="shared" si="0"/>
        <v>0</v>
      </c>
      <c r="J70" s="121">
        <f t="shared" si="0"/>
        <v>0</v>
      </c>
      <c r="K70" s="121"/>
      <c r="L70" s="121"/>
      <c r="M70" s="121"/>
      <c r="N70" s="121"/>
      <c r="O70" s="121"/>
      <c r="P70" s="121"/>
      <c r="Q70" s="121"/>
      <c r="R70" s="121"/>
      <c r="S70" s="121"/>
      <c r="T70" s="121"/>
      <c r="U70" s="121"/>
      <c r="V70" s="12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28" customFormat="1" ht="41.25" customHeight="1" x14ac:dyDescent="0.25">
      <c r="A71" s="514" t="s">
        <v>404</v>
      </c>
      <c r="B71" s="515"/>
      <c r="C71" s="515"/>
      <c r="D71" s="516"/>
      <c r="E71" s="84">
        <v>2440</v>
      </c>
      <c r="F71" s="84">
        <v>810</v>
      </c>
      <c r="G71" s="200"/>
      <c r="H71" s="121"/>
      <c r="I71" s="121"/>
      <c r="J71" s="121"/>
      <c r="K71" s="121"/>
      <c r="L71" s="121"/>
      <c r="M71" s="121"/>
      <c r="N71" s="121"/>
      <c r="O71" s="121"/>
      <c r="P71" s="121"/>
      <c r="Q71" s="121"/>
      <c r="R71" s="121"/>
      <c r="S71" s="121"/>
      <c r="T71" s="121"/>
      <c r="U71" s="121"/>
      <c r="V71" s="12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28" customFormat="1" ht="32.25" customHeight="1" x14ac:dyDescent="0.25">
      <c r="A72" s="514" t="s">
        <v>135</v>
      </c>
      <c r="B72" s="515"/>
      <c r="C72" s="515"/>
      <c r="D72" s="516"/>
      <c r="E72" s="84">
        <v>2450</v>
      </c>
      <c r="F72" s="84">
        <v>862</v>
      </c>
      <c r="G72" s="200"/>
      <c r="H72" s="121"/>
      <c r="I72" s="121"/>
      <c r="J72" s="121"/>
      <c r="K72" s="121"/>
      <c r="L72" s="121"/>
      <c r="M72" s="121"/>
      <c r="N72" s="121"/>
      <c r="O72" s="121"/>
      <c r="P72" s="121"/>
      <c r="Q72" s="121"/>
      <c r="R72" s="121"/>
      <c r="S72" s="121"/>
      <c r="T72" s="121"/>
      <c r="U72" s="121"/>
      <c r="V72" s="12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28" customFormat="1" ht="41.25" customHeight="1" x14ac:dyDescent="0.25">
      <c r="A73" s="514" t="s">
        <v>405</v>
      </c>
      <c r="B73" s="515"/>
      <c r="C73" s="515"/>
      <c r="D73" s="516"/>
      <c r="E73" s="84">
        <v>2460</v>
      </c>
      <c r="F73" s="84">
        <v>863</v>
      </c>
      <c r="G73" s="200"/>
      <c r="H73" s="121"/>
      <c r="I73" s="121"/>
      <c r="J73" s="121"/>
      <c r="K73" s="121"/>
      <c r="L73" s="121"/>
      <c r="M73" s="121"/>
      <c r="N73" s="121"/>
      <c r="O73" s="121"/>
      <c r="P73" s="121"/>
      <c r="Q73" s="121"/>
      <c r="R73" s="121"/>
      <c r="S73" s="121"/>
      <c r="T73" s="121"/>
      <c r="U73" s="121"/>
      <c r="V73" s="12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28" customFormat="1" ht="30.75" customHeight="1" x14ac:dyDescent="0.25">
      <c r="A74" s="319" t="s">
        <v>137</v>
      </c>
      <c r="B74" s="319"/>
      <c r="C74" s="319"/>
      <c r="D74" s="319"/>
      <c r="E74" s="84">
        <v>2500</v>
      </c>
      <c r="F74" s="84" t="s">
        <v>9</v>
      </c>
      <c r="G74" s="200"/>
      <c r="H74" s="121">
        <f t="shared" si="0"/>
        <v>0</v>
      </c>
      <c r="I74" s="121">
        <f t="shared" si="0"/>
        <v>0</v>
      </c>
      <c r="J74" s="121">
        <f t="shared" si="0"/>
        <v>0</v>
      </c>
      <c r="K74" s="121"/>
      <c r="L74" s="121"/>
      <c r="M74" s="121"/>
      <c r="N74" s="121"/>
      <c r="O74" s="121"/>
      <c r="P74" s="121"/>
      <c r="Q74" s="121"/>
      <c r="R74" s="121"/>
      <c r="S74" s="121"/>
      <c r="T74" s="121"/>
      <c r="U74" s="121"/>
      <c r="V74" s="12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28" customFormat="1" ht="53.25" customHeight="1" x14ac:dyDescent="0.25">
      <c r="A75" s="319" t="s">
        <v>138</v>
      </c>
      <c r="B75" s="319"/>
      <c r="C75" s="319"/>
      <c r="D75" s="319"/>
      <c r="E75" s="84">
        <v>2520</v>
      </c>
      <c r="F75" s="84">
        <v>831</v>
      </c>
      <c r="G75" s="200"/>
      <c r="H75" s="121">
        <f t="shared" si="0"/>
        <v>0</v>
      </c>
      <c r="I75" s="121">
        <f t="shared" si="0"/>
        <v>0</v>
      </c>
      <c r="J75" s="121">
        <f t="shared" si="0"/>
        <v>0</v>
      </c>
      <c r="K75" s="121"/>
      <c r="L75" s="121"/>
      <c r="M75" s="121"/>
      <c r="N75" s="121"/>
      <c r="O75" s="121"/>
      <c r="P75" s="121"/>
      <c r="Q75" s="121"/>
      <c r="R75" s="121"/>
      <c r="S75" s="121"/>
      <c r="T75" s="121"/>
      <c r="U75" s="121"/>
      <c r="V75" s="12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28" customFormat="1" ht="36" customHeight="1" x14ac:dyDescent="0.25">
      <c r="A76" s="513" t="s">
        <v>374</v>
      </c>
      <c r="B76" s="513"/>
      <c r="C76" s="513"/>
      <c r="D76" s="513"/>
      <c r="E76" s="217">
        <v>2600</v>
      </c>
      <c r="F76" s="217" t="s">
        <v>9</v>
      </c>
      <c r="G76" s="217"/>
      <c r="H76" s="123">
        <f t="shared" si="0"/>
        <v>1051357.3500000001</v>
      </c>
      <c r="I76" s="123">
        <f t="shared" si="0"/>
        <v>660117.19999999995</v>
      </c>
      <c r="J76" s="123">
        <f t="shared" si="0"/>
        <v>558055.5</v>
      </c>
      <c r="K76" s="123">
        <f t="shared" ref="K76:V76" si="5">K77+K78+K79+K80</f>
        <v>0</v>
      </c>
      <c r="L76" s="123">
        <f t="shared" si="5"/>
        <v>0</v>
      </c>
      <c r="M76" s="123">
        <f t="shared" si="5"/>
        <v>0</v>
      </c>
      <c r="N76" s="123">
        <f t="shared" si="5"/>
        <v>1051357.3500000001</v>
      </c>
      <c r="O76" s="123">
        <f t="shared" si="5"/>
        <v>660117.19999999995</v>
      </c>
      <c r="P76" s="123">
        <f t="shared" si="5"/>
        <v>558055.5</v>
      </c>
      <c r="Q76" s="123">
        <f t="shared" si="5"/>
        <v>0</v>
      </c>
      <c r="R76" s="123">
        <f t="shared" si="5"/>
        <v>0</v>
      </c>
      <c r="S76" s="123">
        <f t="shared" si="5"/>
        <v>0</v>
      </c>
      <c r="T76" s="123">
        <f t="shared" si="5"/>
        <v>0</v>
      </c>
      <c r="U76" s="123">
        <f t="shared" si="5"/>
        <v>0</v>
      </c>
      <c r="V76" s="123">
        <f t="shared" si="5"/>
        <v>0</v>
      </c>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28" customFormat="1" ht="21.75" customHeight="1" x14ac:dyDescent="0.25">
      <c r="A77" s="319" t="s">
        <v>140</v>
      </c>
      <c r="B77" s="319"/>
      <c r="C77" s="319"/>
      <c r="D77" s="319"/>
      <c r="E77" s="84">
        <v>2610</v>
      </c>
      <c r="F77" s="84">
        <v>241</v>
      </c>
      <c r="G77" s="200"/>
      <c r="H77" s="121">
        <f t="shared" si="0"/>
        <v>0</v>
      </c>
      <c r="I77" s="121">
        <f t="shared" si="0"/>
        <v>0</v>
      </c>
      <c r="J77" s="121">
        <f t="shared" si="0"/>
        <v>0</v>
      </c>
      <c r="K77" s="121"/>
      <c r="L77" s="121"/>
      <c r="M77" s="121"/>
      <c r="N77" s="121"/>
      <c r="O77" s="121"/>
      <c r="P77" s="121"/>
      <c r="Q77" s="121"/>
      <c r="R77" s="121"/>
      <c r="S77" s="121"/>
      <c r="T77" s="121"/>
      <c r="U77" s="121"/>
      <c r="V77" s="12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28" customFormat="1" ht="35.25" customHeight="1" x14ac:dyDescent="0.25">
      <c r="A78" s="326" t="s">
        <v>141</v>
      </c>
      <c r="B78" s="327"/>
      <c r="C78" s="327"/>
      <c r="D78" s="328"/>
      <c r="E78" s="84">
        <v>2620</v>
      </c>
      <c r="F78" s="84">
        <v>242</v>
      </c>
      <c r="G78" s="200"/>
      <c r="H78" s="121">
        <f t="shared" si="0"/>
        <v>0</v>
      </c>
      <c r="I78" s="121">
        <f t="shared" si="0"/>
        <v>0</v>
      </c>
      <c r="J78" s="121">
        <f t="shared" si="0"/>
        <v>0</v>
      </c>
      <c r="K78" s="121"/>
      <c r="L78" s="121"/>
      <c r="M78" s="121"/>
      <c r="N78" s="121"/>
      <c r="O78" s="121"/>
      <c r="P78" s="121"/>
      <c r="Q78" s="121"/>
      <c r="R78" s="121"/>
      <c r="S78" s="121"/>
      <c r="T78" s="121"/>
      <c r="U78" s="121"/>
      <c r="V78" s="12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28" customFormat="1" ht="42.75" customHeight="1" x14ac:dyDescent="0.25">
      <c r="A79" s="319" t="s">
        <v>263</v>
      </c>
      <c r="B79" s="319"/>
      <c r="C79" s="319"/>
      <c r="D79" s="319"/>
      <c r="E79" s="84">
        <v>2630</v>
      </c>
      <c r="F79" s="84">
        <v>243</v>
      </c>
      <c r="G79" s="200"/>
      <c r="H79" s="121">
        <f t="shared" si="0"/>
        <v>0</v>
      </c>
      <c r="I79" s="121">
        <f t="shared" si="0"/>
        <v>0</v>
      </c>
      <c r="J79" s="121">
        <f t="shared" si="0"/>
        <v>0</v>
      </c>
      <c r="K79" s="121"/>
      <c r="L79" s="121"/>
      <c r="M79" s="121"/>
      <c r="N79" s="121"/>
      <c r="O79" s="121"/>
      <c r="P79" s="121"/>
      <c r="Q79" s="121"/>
      <c r="R79" s="121"/>
      <c r="S79" s="121"/>
      <c r="T79" s="121"/>
      <c r="U79" s="121"/>
      <c r="V79" s="12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28" customFormat="1" ht="19.5" customHeight="1" x14ac:dyDescent="0.25">
      <c r="A80" s="319" t="s">
        <v>142</v>
      </c>
      <c r="B80" s="319"/>
      <c r="C80" s="319"/>
      <c r="D80" s="319"/>
      <c r="E80" s="84">
        <v>2640</v>
      </c>
      <c r="F80" s="84">
        <v>244</v>
      </c>
      <c r="G80" s="200"/>
      <c r="H80" s="123">
        <f>K80+N80+Q80+T80</f>
        <v>1051357.3500000001</v>
      </c>
      <c r="I80" s="123">
        <f t="shared" si="0"/>
        <v>660117.19999999995</v>
      </c>
      <c r="J80" s="123">
        <f t="shared" si="0"/>
        <v>558055.5</v>
      </c>
      <c r="K80" s="123">
        <f>K82+K83+K84+K85+K86+K87+K88+K89+K90+K91+K92+K93+K94</f>
        <v>0</v>
      </c>
      <c r="L80" s="123">
        <f t="shared" ref="L80:V80" si="6">L82+L83+L84+L85+L86+L87+L88+L89+L90+L91+L92+L93+L94</f>
        <v>0</v>
      </c>
      <c r="M80" s="123">
        <f t="shared" si="6"/>
        <v>0</v>
      </c>
      <c r="N80" s="123">
        <f t="shared" si="6"/>
        <v>1051357.3500000001</v>
      </c>
      <c r="O80" s="123">
        <f t="shared" si="6"/>
        <v>660117.19999999995</v>
      </c>
      <c r="P80" s="123">
        <f t="shared" si="6"/>
        <v>558055.5</v>
      </c>
      <c r="Q80" s="123">
        <f t="shared" si="6"/>
        <v>0</v>
      </c>
      <c r="R80" s="123">
        <f t="shared" si="6"/>
        <v>0</v>
      </c>
      <c r="S80" s="123">
        <f t="shared" si="6"/>
        <v>0</v>
      </c>
      <c r="T80" s="123">
        <f t="shared" si="6"/>
        <v>0</v>
      </c>
      <c r="U80" s="123">
        <f t="shared" si="6"/>
        <v>0</v>
      </c>
      <c r="V80" s="123">
        <f t="shared" si="6"/>
        <v>0</v>
      </c>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28" customFormat="1" ht="19.5" customHeight="1" x14ac:dyDescent="0.25">
      <c r="A81" s="319" t="s">
        <v>37</v>
      </c>
      <c r="B81" s="319"/>
      <c r="C81" s="319"/>
      <c r="D81" s="319"/>
      <c r="E81" s="84"/>
      <c r="F81" s="84"/>
      <c r="G81" s="200"/>
      <c r="H81" s="121">
        <f t="shared" si="0"/>
        <v>0</v>
      </c>
      <c r="I81" s="121">
        <f t="shared" si="0"/>
        <v>0</v>
      </c>
      <c r="J81" s="121">
        <f t="shared" si="0"/>
        <v>0</v>
      </c>
      <c r="K81" s="121"/>
      <c r="L81" s="121"/>
      <c r="M81" s="121"/>
      <c r="N81" s="121"/>
      <c r="O81" s="121"/>
      <c r="P81" s="121"/>
      <c r="Q81" s="121"/>
      <c r="R81" s="121"/>
      <c r="S81" s="121"/>
      <c r="T81" s="121"/>
      <c r="U81" s="121"/>
      <c r="V81" s="12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28" customFormat="1" ht="19.5" customHeight="1" x14ac:dyDescent="0.25">
      <c r="A82" s="271" t="s">
        <v>310</v>
      </c>
      <c r="B82" s="272"/>
      <c r="C82" s="272"/>
      <c r="D82" s="273"/>
      <c r="E82" s="109">
        <v>2641</v>
      </c>
      <c r="F82" s="109">
        <v>244</v>
      </c>
      <c r="G82" s="225">
        <v>221</v>
      </c>
      <c r="H82" s="121">
        <f t="shared" si="0"/>
        <v>0</v>
      </c>
      <c r="I82" s="121">
        <f t="shared" si="0"/>
        <v>0</v>
      </c>
      <c r="J82" s="121">
        <f t="shared" si="0"/>
        <v>0</v>
      </c>
      <c r="K82" s="121"/>
      <c r="L82" s="121"/>
      <c r="M82" s="121"/>
      <c r="N82" s="121"/>
      <c r="O82" s="121"/>
      <c r="P82" s="121"/>
      <c r="Q82" s="121"/>
      <c r="R82" s="121"/>
      <c r="S82" s="121"/>
      <c r="T82" s="121"/>
      <c r="U82" s="121"/>
      <c r="V82" s="12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28" customFormat="1" ht="19.5" customHeight="1" x14ac:dyDescent="0.25">
      <c r="A83" s="271" t="s">
        <v>311</v>
      </c>
      <c r="B83" s="272"/>
      <c r="C83" s="272"/>
      <c r="D83" s="273"/>
      <c r="E83" s="109">
        <v>2642</v>
      </c>
      <c r="F83" s="109">
        <v>244</v>
      </c>
      <c r="G83" s="225">
        <v>222</v>
      </c>
      <c r="H83" s="121">
        <f t="shared" si="0"/>
        <v>0</v>
      </c>
      <c r="I83" s="121">
        <f t="shared" si="0"/>
        <v>0</v>
      </c>
      <c r="J83" s="121">
        <f t="shared" si="0"/>
        <v>0</v>
      </c>
      <c r="K83" s="121"/>
      <c r="L83" s="121"/>
      <c r="M83" s="121"/>
      <c r="N83" s="121"/>
      <c r="O83" s="121"/>
      <c r="P83" s="121"/>
      <c r="Q83" s="121"/>
      <c r="R83" s="121"/>
      <c r="S83" s="121"/>
      <c r="T83" s="121"/>
      <c r="U83" s="121"/>
      <c r="V83" s="12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28" customFormat="1" ht="19.5" customHeight="1" x14ac:dyDescent="0.25">
      <c r="A84" s="271" t="s">
        <v>301</v>
      </c>
      <c r="B84" s="272"/>
      <c r="C84" s="272"/>
      <c r="D84" s="273"/>
      <c r="E84" s="109">
        <v>2643</v>
      </c>
      <c r="F84" s="109">
        <v>244</v>
      </c>
      <c r="G84" s="225" t="s">
        <v>297</v>
      </c>
      <c r="H84" s="121">
        <f t="shared" si="0"/>
        <v>185300</v>
      </c>
      <c r="I84" s="121">
        <f t="shared" si="0"/>
        <v>185300</v>
      </c>
      <c r="J84" s="121">
        <f t="shared" si="0"/>
        <v>185300</v>
      </c>
      <c r="K84" s="121"/>
      <c r="L84" s="121"/>
      <c r="M84" s="121"/>
      <c r="N84" s="228">
        <v>185300</v>
      </c>
      <c r="O84" s="228">
        <v>185300</v>
      </c>
      <c r="P84" s="228">
        <v>185300</v>
      </c>
      <c r="Q84" s="121"/>
      <c r="R84" s="121"/>
      <c r="S84" s="121"/>
      <c r="T84" s="121"/>
      <c r="U84" s="121"/>
      <c r="V84" s="12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28" customFormat="1" ht="19.5" customHeight="1" x14ac:dyDescent="0.25">
      <c r="A85" s="271" t="s">
        <v>313</v>
      </c>
      <c r="B85" s="272"/>
      <c r="C85" s="272"/>
      <c r="D85" s="273"/>
      <c r="E85" s="109">
        <v>2644</v>
      </c>
      <c r="F85" s="109">
        <v>244</v>
      </c>
      <c r="G85" s="225" t="s">
        <v>298</v>
      </c>
      <c r="H85" s="121">
        <f t="shared" si="0"/>
        <v>99800</v>
      </c>
      <c r="I85" s="121">
        <f t="shared" si="0"/>
        <v>99800</v>
      </c>
      <c r="J85" s="121">
        <f t="shared" si="0"/>
        <v>99800</v>
      </c>
      <c r="K85" s="121"/>
      <c r="L85" s="121"/>
      <c r="M85" s="121"/>
      <c r="N85" s="228">
        <v>99800</v>
      </c>
      <c r="O85" s="228">
        <v>99800</v>
      </c>
      <c r="P85" s="228">
        <v>99800</v>
      </c>
      <c r="Q85" s="121"/>
      <c r="R85" s="121"/>
      <c r="S85" s="121"/>
      <c r="T85" s="121"/>
      <c r="U85" s="121"/>
      <c r="V85" s="12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28" customFormat="1" ht="19.5" customHeight="1" x14ac:dyDescent="0.25">
      <c r="A86" s="271" t="s">
        <v>314</v>
      </c>
      <c r="B86" s="272"/>
      <c r="C86" s="272"/>
      <c r="D86" s="273"/>
      <c r="E86" s="109">
        <v>2645</v>
      </c>
      <c r="F86" s="109">
        <v>244</v>
      </c>
      <c r="G86" s="225" t="s">
        <v>299</v>
      </c>
      <c r="H86" s="121">
        <f t="shared" si="0"/>
        <v>44300</v>
      </c>
      <c r="I86" s="121">
        <f t="shared" si="0"/>
        <v>44300</v>
      </c>
      <c r="J86" s="121">
        <f t="shared" si="0"/>
        <v>44300</v>
      </c>
      <c r="K86" s="121"/>
      <c r="L86" s="121"/>
      <c r="M86" s="121"/>
      <c r="N86" s="228">
        <v>44300</v>
      </c>
      <c r="O86" s="228">
        <v>44300</v>
      </c>
      <c r="P86" s="228">
        <v>44300</v>
      </c>
      <c r="Q86" s="121"/>
      <c r="R86" s="121"/>
      <c r="S86" s="121"/>
      <c r="T86" s="121"/>
      <c r="U86" s="121"/>
      <c r="V86" s="12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28" customFormat="1" ht="19.5" customHeight="1" x14ac:dyDescent="0.25">
      <c r="A87" s="271" t="s">
        <v>315</v>
      </c>
      <c r="B87" s="272"/>
      <c r="C87" s="272"/>
      <c r="D87" s="273"/>
      <c r="E87" s="109">
        <v>2646</v>
      </c>
      <c r="F87" s="109">
        <v>244</v>
      </c>
      <c r="G87" s="225">
        <v>225</v>
      </c>
      <c r="H87" s="121">
        <f t="shared" si="0"/>
        <v>0</v>
      </c>
      <c r="I87" s="121">
        <f t="shared" si="0"/>
        <v>0</v>
      </c>
      <c r="J87" s="121">
        <f t="shared" si="0"/>
        <v>0</v>
      </c>
      <c r="K87" s="121"/>
      <c r="L87" s="121"/>
      <c r="M87" s="121"/>
      <c r="N87" s="228"/>
      <c r="O87" s="228"/>
      <c r="P87" s="228"/>
      <c r="Q87" s="121"/>
      <c r="R87" s="121"/>
      <c r="S87" s="121"/>
      <c r="T87" s="121"/>
      <c r="U87" s="121"/>
      <c r="V87" s="12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28" customFormat="1" ht="19.5" customHeight="1" x14ac:dyDescent="0.25">
      <c r="A88" s="271" t="s">
        <v>300</v>
      </c>
      <c r="B88" s="272"/>
      <c r="C88" s="272"/>
      <c r="D88" s="273"/>
      <c r="E88" s="109">
        <v>2647</v>
      </c>
      <c r="F88" s="109">
        <v>244</v>
      </c>
      <c r="G88" s="225">
        <v>226</v>
      </c>
      <c r="H88" s="121">
        <f t="shared" si="0"/>
        <v>342717.35</v>
      </c>
      <c r="I88" s="121">
        <f t="shared" si="0"/>
        <v>91477.2</v>
      </c>
      <c r="J88" s="121">
        <f t="shared" si="0"/>
        <v>0</v>
      </c>
      <c r="K88" s="121"/>
      <c r="L88" s="121"/>
      <c r="M88" s="121"/>
      <c r="N88" s="232">
        <f>502717.35-20000-140000</f>
        <v>342717.35</v>
      </c>
      <c r="O88" s="232">
        <v>91477.2</v>
      </c>
      <c r="P88" s="232"/>
      <c r="Q88" s="121"/>
      <c r="R88" s="121"/>
      <c r="S88" s="121"/>
      <c r="T88" s="121"/>
      <c r="U88" s="121"/>
      <c r="V88" s="12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28" customFormat="1" ht="19.5" customHeight="1" x14ac:dyDescent="0.25">
      <c r="A89" s="271" t="s">
        <v>302</v>
      </c>
      <c r="B89" s="272"/>
      <c r="C89" s="272"/>
      <c r="D89" s="273"/>
      <c r="E89" s="109">
        <v>2648</v>
      </c>
      <c r="F89" s="109">
        <v>244</v>
      </c>
      <c r="G89" s="225">
        <v>227</v>
      </c>
      <c r="H89" s="121">
        <f t="shared" si="0"/>
        <v>7000</v>
      </c>
      <c r="I89" s="121">
        <f t="shared" si="0"/>
        <v>7000</v>
      </c>
      <c r="J89" s="121">
        <f t="shared" si="0"/>
        <v>7000</v>
      </c>
      <c r="K89" s="121"/>
      <c r="L89" s="121"/>
      <c r="M89" s="121"/>
      <c r="N89" s="228">
        <v>7000</v>
      </c>
      <c r="O89" s="228">
        <v>7000</v>
      </c>
      <c r="P89" s="228">
        <v>7000</v>
      </c>
      <c r="Q89" s="121"/>
      <c r="R89" s="121"/>
      <c r="S89" s="121"/>
      <c r="T89" s="121"/>
      <c r="U89" s="121"/>
      <c r="V89" s="12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28" customFormat="1" ht="19.5" customHeight="1" x14ac:dyDescent="0.25">
      <c r="A90" s="271" t="s">
        <v>305</v>
      </c>
      <c r="B90" s="272"/>
      <c r="C90" s="272"/>
      <c r="D90" s="273"/>
      <c r="E90" s="109">
        <v>2649</v>
      </c>
      <c r="F90" s="109">
        <v>244</v>
      </c>
      <c r="G90" s="225">
        <v>310</v>
      </c>
      <c r="H90" s="121">
        <f t="shared" si="0"/>
        <v>0</v>
      </c>
      <c r="I90" s="121">
        <f t="shared" si="0"/>
        <v>0</v>
      </c>
      <c r="J90" s="121">
        <f t="shared" si="0"/>
        <v>0</v>
      </c>
      <c r="K90" s="121"/>
      <c r="L90" s="121"/>
      <c r="M90" s="121"/>
      <c r="N90" s="228"/>
      <c r="O90" s="228"/>
      <c r="P90" s="228"/>
      <c r="Q90" s="121"/>
      <c r="R90" s="121"/>
      <c r="S90" s="121"/>
      <c r="T90" s="121"/>
      <c r="U90" s="121"/>
      <c r="V90" s="12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28" customFormat="1" ht="35.25" customHeight="1" x14ac:dyDescent="0.25">
      <c r="A91" s="271" t="s">
        <v>316</v>
      </c>
      <c r="B91" s="272"/>
      <c r="C91" s="272"/>
      <c r="D91" s="273"/>
      <c r="E91" s="109">
        <v>2650</v>
      </c>
      <c r="F91" s="109">
        <v>244</v>
      </c>
      <c r="G91" s="225">
        <v>341</v>
      </c>
      <c r="H91" s="229">
        <f t="shared" si="0"/>
        <v>0</v>
      </c>
      <c r="I91" s="229">
        <f t="shared" si="0"/>
        <v>0</v>
      </c>
      <c r="J91" s="229">
        <f t="shared" si="0"/>
        <v>0</v>
      </c>
      <c r="K91" s="229"/>
      <c r="L91" s="229"/>
      <c r="M91" s="229"/>
      <c r="N91" s="228"/>
      <c r="O91" s="228"/>
      <c r="P91" s="228"/>
      <c r="Q91" s="229"/>
      <c r="R91" s="229"/>
      <c r="S91" s="229"/>
      <c r="T91" s="229"/>
      <c r="U91" s="229"/>
      <c r="V91" s="229"/>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28" customFormat="1" ht="27" customHeight="1" x14ac:dyDescent="0.25">
      <c r="A92" s="271" t="s">
        <v>303</v>
      </c>
      <c r="B92" s="272"/>
      <c r="C92" s="272"/>
      <c r="D92" s="273"/>
      <c r="E92" s="109">
        <v>2651</v>
      </c>
      <c r="F92" s="109">
        <v>244</v>
      </c>
      <c r="G92" s="225">
        <v>343</v>
      </c>
      <c r="H92" s="121">
        <f t="shared" si="0"/>
        <v>285640</v>
      </c>
      <c r="I92" s="121">
        <f t="shared" si="0"/>
        <v>145640</v>
      </c>
      <c r="J92" s="121">
        <f t="shared" si="0"/>
        <v>145640</v>
      </c>
      <c r="K92" s="121"/>
      <c r="L92" s="121"/>
      <c r="M92" s="121"/>
      <c r="N92" s="228">
        <f>145640+140000</f>
        <v>285640</v>
      </c>
      <c r="O92" s="228">
        <v>145640</v>
      </c>
      <c r="P92" s="228">
        <v>145640</v>
      </c>
      <c r="Q92" s="121"/>
      <c r="R92" s="121"/>
      <c r="S92" s="121"/>
      <c r="T92" s="121"/>
      <c r="U92" s="121"/>
      <c r="V92" s="12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28" customFormat="1" ht="19.5" customHeight="1" x14ac:dyDescent="0.25">
      <c r="A93" s="271" t="s">
        <v>317</v>
      </c>
      <c r="B93" s="272"/>
      <c r="C93" s="272"/>
      <c r="D93" s="273"/>
      <c r="E93" s="109">
        <v>2652</v>
      </c>
      <c r="F93" s="109">
        <v>244</v>
      </c>
      <c r="G93" s="225">
        <v>345</v>
      </c>
      <c r="H93" s="121">
        <f t="shared" si="0"/>
        <v>0</v>
      </c>
      <c r="I93" s="121">
        <f t="shared" si="0"/>
        <v>0</v>
      </c>
      <c r="J93" s="121">
        <f t="shared" si="0"/>
        <v>0</v>
      </c>
      <c r="K93" s="121"/>
      <c r="L93" s="121"/>
      <c r="M93" s="121"/>
      <c r="N93" s="228"/>
      <c r="O93" s="228"/>
      <c r="P93" s="228"/>
      <c r="Q93" s="121"/>
      <c r="R93" s="121"/>
      <c r="S93" s="121"/>
      <c r="T93" s="121"/>
      <c r="U93" s="121"/>
      <c r="V93" s="12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28" customFormat="1" ht="29.25" customHeight="1" x14ac:dyDescent="0.25">
      <c r="A94" s="271" t="s">
        <v>304</v>
      </c>
      <c r="B94" s="272"/>
      <c r="C94" s="272"/>
      <c r="D94" s="273"/>
      <c r="E94" s="109">
        <v>2653</v>
      </c>
      <c r="F94" s="109">
        <v>244</v>
      </c>
      <c r="G94" s="225">
        <v>346</v>
      </c>
      <c r="H94" s="121">
        <f t="shared" si="0"/>
        <v>86600</v>
      </c>
      <c r="I94" s="121">
        <f t="shared" si="0"/>
        <v>86600</v>
      </c>
      <c r="J94" s="121">
        <f t="shared" si="0"/>
        <v>76015.5</v>
      </c>
      <c r="K94" s="121"/>
      <c r="L94" s="121"/>
      <c r="M94" s="121"/>
      <c r="N94" s="228">
        <v>86600</v>
      </c>
      <c r="O94" s="228">
        <v>86600</v>
      </c>
      <c r="P94" s="228">
        <f>86600-10584.5</f>
        <v>76015.5</v>
      </c>
      <c r="Q94" s="121"/>
      <c r="R94" s="121"/>
      <c r="S94" s="121"/>
      <c r="T94" s="121"/>
      <c r="U94" s="121"/>
      <c r="V94" s="12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28" customFormat="1" ht="29.25" customHeight="1" x14ac:dyDescent="0.25">
      <c r="A95" s="313" t="s">
        <v>318</v>
      </c>
      <c r="B95" s="314"/>
      <c r="C95" s="314"/>
      <c r="D95" s="315"/>
      <c r="E95" s="109"/>
      <c r="F95" s="109">
        <v>244</v>
      </c>
      <c r="G95" s="225">
        <v>349</v>
      </c>
      <c r="H95" s="121">
        <f t="shared" si="0"/>
        <v>0</v>
      </c>
      <c r="I95" s="121">
        <f t="shared" si="0"/>
        <v>0</v>
      </c>
      <c r="J95" s="121">
        <f t="shared" si="0"/>
        <v>0</v>
      </c>
      <c r="K95" s="121"/>
      <c r="L95" s="121"/>
      <c r="M95" s="121"/>
      <c r="N95" s="228"/>
      <c r="O95" s="228"/>
      <c r="P95" s="228"/>
      <c r="Q95" s="121"/>
      <c r="R95" s="121"/>
      <c r="S95" s="121"/>
      <c r="T95" s="121"/>
      <c r="U95" s="121"/>
      <c r="V95" s="12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28" customFormat="1" ht="32.25" customHeight="1" x14ac:dyDescent="0.25">
      <c r="A96" s="506" t="s">
        <v>264</v>
      </c>
      <c r="B96" s="506"/>
      <c r="C96" s="506"/>
      <c r="D96" s="506"/>
      <c r="E96" s="109">
        <v>2660</v>
      </c>
      <c r="F96" s="109">
        <v>400</v>
      </c>
      <c r="G96" s="225"/>
      <c r="H96" s="121">
        <f t="shared" si="0"/>
        <v>0</v>
      </c>
      <c r="I96" s="121">
        <f t="shared" si="0"/>
        <v>0</v>
      </c>
      <c r="J96" s="121">
        <f t="shared" si="0"/>
        <v>0</v>
      </c>
      <c r="K96" s="121"/>
      <c r="L96" s="121"/>
      <c r="M96" s="121"/>
      <c r="N96" s="228"/>
      <c r="O96" s="228"/>
      <c r="P96" s="228"/>
      <c r="Q96" s="121"/>
      <c r="R96" s="121"/>
      <c r="S96" s="121"/>
      <c r="T96" s="121"/>
      <c r="U96" s="121"/>
      <c r="V96" s="12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28" customFormat="1" ht="43.5" customHeight="1" x14ac:dyDescent="0.25">
      <c r="A97" s="506" t="s">
        <v>265</v>
      </c>
      <c r="B97" s="506"/>
      <c r="C97" s="506"/>
      <c r="D97" s="506"/>
      <c r="E97" s="109">
        <v>2661</v>
      </c>
      <c r="F97" s="109">
        <v>406</v>
      </c>
      <c r="G97" s="225"/>
      <c r="H97" s="121">
        <f t="shared" si="0"/>
        <v>0</v>
      </c>
      <c r="I97" s="121">
        <f t="shared" si="0"/>
        <v>0</v>
      </c>
      <c r="J97" s="121">
        <f t="shared" si="0"/>
        <v>0</v>
      </c>
      <c r="K97" s="121"/>
      <c r="L97" s="121"/>
      <c r="M97" s="121"/>
      <c r="N97" s="228"/>
      <c r="O97" s="228"/>
      <c r="P97" s="228"/>
      <c r="Q97" s="121"/>
      <c r="R97" s="121"/>
      <c r="S97" s="121"/>
      <c r="T97" s="121"/>
      <c r="U97" s="121"/>
      <c r="V97" s="12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28" customFormat="1" ht="34.5" customHeight="1" x14ac:dyDescent="0.25">
      <c r="A98" s="506" t="s">
        <v>266</v>
      </c>
      <c r="B98" s="506"/>
      <c r="C98" s="506"/>
      <c r="D98" s="506"/>
      <c r="E98" s="109">
        <v>2662</v>
      </c>
      <c r="F98" s="109">
        <v>407</v>
      </c>
      <c r="G98" s="225"/>
      <c r="H98" s="121">
        <f t="shared" si="0"/>
        <v>0</v>
      </c>
      <c r="I98" s="121">
        <f t="shared" si="0"/>
        <v>0</v>
      </c>
      <c r="J98" s="121">
        <f t="shared" si="0"/>
        <v>0</v>
      </c>
      <c r="K98" s="121"/>
      <c r="L98" s="121"/>
      <c r="M98" s="121"/>
      <c r="N98" s="228"/>
      <c r="O98" s="228"/>
      <c r="P98" s="228"/>
      <c r="Q98" s="121"/>
      <c r="R98" s="121"/>
      <c r="S98" s="121"/>
      <c r="T98" s="121"/>
      <c r="U98" s="121"/>
      <c r="V98" s="12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28" customFormat="1" ht="19.5" customHeight="1" x14ac:dyDescent="0.25">
      <c r="A99" s="519" t="s">
        <v>143</v>
      </c>
      <c r="B99" s="519"/>
      <c r="C99" s="519"/>
      <c r="D99" s="519"/>
      <c r="E99" s="124">
        <v>3000</v>
      </c>
      <c r="F99" s="124">
        <v>100</v>
      </c>
      <c r="G99" s="226"/>
      <c r="H99" s="123">
        <f t="shared" si="0"/>
        <v>0</v>
      </c>
      <c r="I99" s="123">
        <f t="shared" si="0"/>
        <v>0</v>
      </c>
      <c r="J99" s="123">
        <f t="shared" si="0"/>
        <v>0</v>
      </c>
      <c r="K99" s="123"/>
      <c r="L99" s="123"/>
      <c r="M99" s="123"/>
      <c r="N99" s="233"/>
      <c r="O99" s="233"/>
      <c r="P99" s="233"/>
      <c r="Q99" s="123"/>
      <c r="R99" s="123"/>
      <c r="S99" s="123"/>
      <c r="T99" s="123"/>
      <c r="U99" s="123"/>
      <c r="V99" s="123"/>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row>
    <row r="100" spans="1:75" s="28" customFormat="1" ht="30.75" customHeight="1" x14ac:dyDescent="0.25">
      <c r="A100" s="506" t="s">
        <v>144</v>
      </c>
      <c r="B100" s="506"/>
      <c r="C100" s="506"/>
      <c r="D100" s="506"/>
      <c r="E100" s="109">
        <v>3010</v>
      </c>
      <c r="F100" s="109"/>
      <c r="G100" s="225"/>
      <c r="H100" s="121">
        <f t="shared" si="0"/>
        <v>0</v>
      </c>
      <c r="I100" s="121">
        <f t="shared" si="0"/>
        <v>0</v>
      </c>
      <c r="J100" s="121">
        <f t="shared" si="0"/>
        <v>0</v>
      </c>
      <c r="K100" s="121"/>
      <c r="L100" s="121"/>
      <c r="M100" s="121"/>
      <c r="N100" s="121"/>
      <c r="O100" s="121"/>
      <c r="P100" s="121"/>
      <c r="Q100" s="121"/>
      <c r="R100" s="121"/>
      <c r="S100" s="121"/>
      <c r="T100" s="121"/>
      <c r="U100" s="121"/>
      <c r="V100" s="12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28" customFormat="1" ht="19.5" customHeight="1" x14ac:dyDescent="0.25">
      <c r="A101" s="319" t="s">
        <v>145</v>
      </c>
      <c r="B101" s="319"/>
      <c r="C101" s="319"/>
      <c r="D101" s="319"/>
      <c r="E101" s="84">
        <v>3020</v>
      </c>
      <c r="F101" s="84"/>
      <c r="G101" s="200"/>
      <c r="H101" s="121">
        <f t="shared" ref="H101:J104" si="7">K101+N101+Q101+T101</f>
        <v>0</v>
      </c>
      <c r="I101" s="121">
        <f t="shared" si="7"/>
        <v>0</v>
      </c>
      <c r="J101" s="121">
        <f t="shared" si="7"/>
        <v>0</v>
      </c>
      <c r="K101" s="121"/>
      <c r="L101" s="121"/>
      <c r="M101" s="121"/>
      <c r="N101" s="121"/>
      <c r="O101" s="121"/>
      <c r="P101" s="121"/>
      <c r="Q101" s="121"/>
      <c r="R101" s="121"/>
      <c r="S101" s="121"/>
      <c r="T101" s="121"/>
      <c r="U101" s="121"/>
      <c r="V101" s="12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s="28" customFormat="1" ht="19.5" customHeight="1" x14ac:dyDescent="0.25">
      <c r="A102" s="319" t="s">
        <v>146</v>
      </c>
      <c r="B102" s="319"/>
      <c r="C102" s="319"/>
      <c r="D102" s="319"/>
      <c r="E102" s="84">
        <v>3030</v>
      </c>
      <c r="F102" s="84"/>
      <c r="G102" s="200"/>
      <c r="H102" s="121">
        <f t="shared" si="7"/>
        <v>0</v>
      </c>
      <c r="I102" s="121">
        <f t="shared" si="7"/>
        <v>0</v>
      </c>
      <c r="J102" s="121">
        <f t="shared" si="7"/>
        <v>0</v>
      </c>
      <c r="K102" s="121"/>
      <c r="L102" s="121"/>
      <c r="M102" s="121"/>
      <c r="N102" s="121"/>
      <c r="O102" s="121"/>
      <c r="P102" s="121"/>
      <c r="Q102" s="121"/>
      <c r="R102" s="121"/>
      <c r="S102" s="121"/>
      <c r="T102" s="121"/>
      <c r="U102" s="121"/>
      <c r="V102" s="12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28" customFormat="1" ht="19.5" customHeight="1" x14ac:dyDescent="0.25">
      <c r="A103" s="472" t="s">
        <v>147</v>
      </c>
      <c r="B103" s="472"/>
      <c r="C103" s="472"/>
      <c r="D103" s="472"/>
      <c r="E103" s="85">
        <v>4000</v>
      </c>
      <c r="F103" s="85" t="s">
        <v>9</v>
      </c>
      <c r="G103" s="217"/>
      <c r="H103" s="123">
        <f t="shared" si="7"/>
        <v>0</v>
      </c>
      <c r="I103" s="123">
        <f t="shared" si="7"/>
        <v>0</v>
      </c>
      <c r="J103" s="123">
        <f t="shared" si="7"/>
        <v>0</v>
      </c>
      <c r="K103" s="123"/>
      <c r="L103" s="123"/>
      <c r="M103" s="123"/>
      <c r="N103" s="123"/>
      <c r="O103" s="123"/>
      <c r="P103" s="123"/>
      <c r="Q103" s="123"/>
      <c r="R103" s="123"/>
      <c r="S103" s="123"/>
      <c r="T103" s="123"/>
      <c r="U103" s="123"/>
      <c r="V103" s="123"/>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row>
    <row r="104" spans="1:75" s="28" customFormat="1" ht="26.25" customHeight="1" x14ac:dyDescent="0.25">
      <c r="A104" s="319" t="s">
        <v>148</v>
      </c>
      <c r="B104" s="319"/>
      <c r="C104" s="319"/>
      <c r="D104" s="319"/>
      <c r="E104" s="84">
        <v>4010</v>
      </c>
      <c r="F104" s="76">
        <v>610</v>
      </c>
      <c r="G104" s="200"/>
      <c r="H104" s="121">
        <f t="shared" si="7"/>
        <v>0</v>
      </c>
      <c r="I104" s="121">
        <f t="shared" si="7"/>
        <v>0</v>
      </c>
      <c r="J104" s="121">
        <f t="shared" si="7"/>
        <v>0</v>
      </c>
      <c r="K104" s="121"/>
      <c r="L104" s="121"/>
      <c r="M104" s="121"/>
      <c r="N104" s="121"/>
      <c r="O104" s="121"/>
      <c r="P104" s="121"/>
      <c r="Q104" s="121"/>
      <c r="R104" s="121"/>
      <c r="S104" s="121"/>
      <c r="T104" s="121"/>
      <c r="U104" s="121"/>
      <c r="V104" s="12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row>
    <row r="105" spans="1:75" s="28" customFormat="1" ht="19.5" customHeight="1" x14ac:dyDescent="0.25">
      <c r="A105" s="79"/>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row>
    <row r="106" spans="1:75" s="70" customFormat="1" ht="20.25" customHeight="1" x14ac:dyDescent="0.25">
      <c r="A106" s="36" t="s">
        <v>225</v>
      </c>
      <c r="B106" s="14"/>
      <c r="C106" s="18"/>
      <c r="D106" s="103"/>
      <c r="E106" s="15"/>
      <c r="F106" s="18"/>
      <c r="G106" s="103"/>
      <c r="H106" s="29"/>
      <c r="I106" s="35"/>
      <c r="J106" s="18"/>
      <c r="K106" s="106" t="s">
        <v>280</v>
      </c>
      <c r="L106" s="106"/>
      <c r="M106" s="71"/>
      <c r="N106" s="71"/>
      <c r="O106" s="71"/>
      <c r="P106" s="71"/>
      <c r="Q106" s="71"/>
      <c r="R106" s="71"/>
      <c r="S106" s="71"/>
      <c r="T106" s="71"/>
      <c r="U106" s="71"/>
      <c r="V106" s="71"/>
    </row>
    <row r="107" spans="1:75" s="70" customFormat="1" ht="11.25" customHeight="1" x14ac:dyDescent="0.2">
      <c r="A107" s="37"/>
      <c r="B107" s="16" t="s">
        <v>30</v>
      </c>
      <c r="C107" s="517"/>
      <c r="D107" s="517"/>
      <c r="E107" s="16"/>
      <c r="F107" s="517"/>
      <c r="G107" s="517"/>
      <c r="H107" s="518" t="s">
        <v>31</v>
      </c>
      <c r="I107" s="518"/>
      <c r="J107" s="54"/>
      <c r="K107" s="524" t="s">
        <v>11</v>
      </c>
      <c r="L107" s="524"/>
      <c r="M107" s="71"/>
      <c r="N107" s="71"/>
      <c r="O107" s="71"/>
      <c r="P107" s="71"/>
      <c r="Q107" s="71"/>
      <c r="R107" s="71"/>
      <c r="S107" s="71"/>
      <c r="T107" s="71"/>
      <c r="U107" s="71"/>
      <c r="V107" s="71"/>
    </row>
    <row r="108" spans="1:75" s="70" customFormat="1" ht="23.25" customHeight="1" x14ac:dyDescent="0.25">
      <c r="A108" s="36" t="s">
        <v>251</v>
      </c>
      <c r="B108" s="14"/>
      <c r="C108" s="18"/>
      <c r="D108" s="103"/>
      <c r="E108" s="15"/>
      <c r="F108" s="18"/>
      <c r="G108" s="103"/>
      <c r="H108" s="29"/>
      <c r="I108" s="35"/>
      <c r="J108" s="18"/>
      <c r="K108" s="106" t="s">
        <v>282</v>
      </c>
      <c r="L108" s="106"/>
      <c r="M108" s="71"/>
      <c r="N108" s="71"/>
      <c r="O108" s="71"/>
      <c r="P108" s="71"/>
      <c r="Q108" s="71"/>
      <c r="R108" s="71"/>
      <c r="S108" s="71"/>
      <c r="T108" s="71"/>
      <c r="U108" s="71"/>
      <c r="V108" s="71"/>
    </row>
    <row r="109" spans="1:75" s="70" customFormat="1" ht="20.25" customHeight="1" x14ac:dyDescent="0.2">
      <c r="A109" s="31"/>
      <c r="B109" s="16"/>
      <c r="C109" s="520"/>
      <c r="D109" s="520"/>
      <c r="E109" s="16"/>
      <c r="F109" s="520"/>
      <c r="G109" s="520"/>
      <c r="H109" s="521" t="s">
        <v>31</v>
      </c>
      <c r="I109" s="521"/>
      <c r="J109" s="54"/>
      <c r="K109" s="524" t="s">
        <v>11</v>
      </c>
      <c r="L109" s="524"/>
      <c r="M109" s="71"/>
      <c r="N109" s="71"/>
      <c r="O109" s="71"/>
      <c r="P109" s="71"/>
      <c r="Q109" s="71"/>
      <c r="R109" s="71"/>
      <c r="S109" s="71"/>
      <c r="T109" s="71"/>
      <c r="U109" s="71"/>
      <c r="V109" s="71"/>
    </row>
    <row r="110" spans="1:75" s="70" customFormat="1" ht="20.25" customHeight="1" x14ac:dyDescent="0.2">
      <c r="A110" s="31"/>
      <c r="B110" s="521" t="s">
        <v>248</v>
      </c>
      <c r="C110" s="521"/>
      <c r="D110" s="75"/>
      <c r="E110" s="16"/>
      <c r="F110" s="75"/>
      <c r="G110" s="75"/>
      <c r="H110" s="74"/>
      <c r="I110" s="74"/>
      <c r="J110" s="54"/>
      <c r="K110" s="107"/>
      <c r="L110" s="107"/>
      <c r="M110" s="71"/>
      <c r="N110" s="71"/>
      <c r="O110" s="71"/>
      <c r="P110" s="71"/>
      <c r="Q110" s="71"/>
      <c r="R110" s="71"/>
      <c r="S110" s="71"/>
      <c r="T110" s="71"/>
      <c r="U110" s="71"/>
      <c r="V110" s="71"/>
    </row>
    <row r="111" spans="1:75" s="70" customFormat="1" ht="24" customHeight="1" x14ac:dyDescent="0.25">
      <c r="A111" s="36" t="s">
        <v>228</v>
      </c>
      <c r="B111" s="14"/>
      <c r="C111" s="18"/>
      <c r="D111" s="103"/>
      <c r="E111" s="15"/>
      <c r="F111" s="18"/>
      <c r="G111" s="103"/>
      <c r="H111" s="29"/>
      <c r="I111" s="35"/>
      <c r="J111" s="18"/>
      <c r="K111" s="106" t="s">
        <v>282</v>
      </c>
      <c r="L111" s="106"/>
      <c r="M111" s="71"/>
      <c r="N111" s="71"/>
      <c r="O111" s="71"/>
      <c r="P111" s="71"/>
      <c r="Q111" s="71"/>
      <c r="R111" s="71"/>
      <c r="S111" s="71"/>
      <c r="T111" s="71"/>
      <c r="U111" s="71"/>
      <c r="V111" s="71"/>
    </row>
    <row r="112" spans="1:75" s="70" customFormat="1" ht="22.5" customHeight="1" x14ac:dyDescent="0.2">
      <c r="A112" s="31"/>
      <c r="B112" s="16"/>
      <c r="C112" s="520"/>
      <c r="D112" s="520"/>
      <c r="E112" s="16"/>
      <c r="F112" s="520"/>
      <c r="G112" s="520"/>
      <c r="H112" s="521" t="s">
        <v>31</v>
      </c>
      <c r="I112" s="521"/>
      <c r="J112" s="54"/>
      <c r="K112" s="522" t="s">
        <v>11</v>
      </c>
      <c r="L112" s="522"/>
      <c r="M112" s="71"/>
      <c r="N112" s="71"/>
      <c r="O112" s="71"/>
      <c r="P112" s="71"/>
      <c r="Q112" s="71"/>
      <c r="R112" s="71"/>
      <c r="S112" s="71"/>
      <c r="T112" s="71"/>
      <c r="U112" s="71"/>
      <c r="V112" s="71"/>
    </row>
    <row r="113" spans="1:148" s="70" customFormat="1" ht="9.75" customHeight="1" x14ac:dyDescent="0.2">
      <c r="A113" s="102"/>
      <c r="B113" s="523"/>
      <c r="C113" s="523"/>
      <c r="D113" s="102"/>
      <c r="E113" s="71"/>
      <c r="F113" s="71"/>
      <c r="G113" s="71"/>
      <c r="H113" s="71"/>
      <c r="I113" s="71"/>
      <c r="J113" s="71"/>
      <c r="K113" s="71"/>
      <c r="L113" s="71"/>
      <c r="M113" s="71"/>
      <c r="N113" s="71"/>
      <c r="O113" s="71"/>
      <c r="P113" s="71"/>
      <c r="Q113" s="71"/>
      <c r="R113" s="71"/>
      <c r="S113" s="71"/>
      <c r="T113" s="71"/>
      <c r="U113" s="71"/>
      <c r="V113" s="71"/>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row>
    <row r="114" spans="1:148" s="70" customFormat="1" ht="10.5" customHeight="1" x14ac:dyDescent="0.2">
      <c r="A114" s="256" t="s">
        <v>149</v>
      </c>
      <c r="B114" s="256"/>
      <c r="C114" s="256"/>
      <c r="D114" s="256"/>
      <c r="E114" s="256"/>
      <c r="F114" s="256"/>
      <c r="G114" s="256"/>
      <c r="H114" s="256"/>
      <c r="I114" s="256"/>
      <c r="J114" s="256"/>
      <c r="K114" s="256"/>
      <c r="L114" s="256"/>
      <c r="M114" s="256"/>
      <c r="N114" s="256"/>
    </row>
    <row r="115" spans="1:148" s="70" customFormat="1" ht="14.25" customHeight="1" x14ac:dyDescent="0.2">
      <c r="A115" s="256" t="s">
        <v>268</v>
      </c>
      <c r="B115" s="256"/>
      <c r="C115" s="256"/>
      <c r="D115" s="256"/>
      <c r="E115" s="256"/>
      <c r="F115" s="256"/>
      <c r="G115" s="256"/>
      <c r="H115" s="256"/>
      <c r="I115" s="256"/>
      <c r="J115" s="256"/>
      <c r="K115" s="256"/>
      <c r="L115" s="256"/>
      <c r="M115" s="256"/>
      <c r="N115" s="256"/>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row>
    <row r="116" spans="1:148" s="70" customFormat="1" ht="12" customHeight="1" x14ac:dyDescent="0.2">
      <c r="A116" s="256" t="s">
        <v>150</v>
      </c>
      <c r="B116" s="256"/>
      <c r="C116" s="256"/>
      <c r="D116" s="256"/>
      <c r="E116" s="256"/>
      <c r="F116" s="256"/>
      <c r="G116" s="256"/>
      <c r="H116" s="256"/>
      <c r="I116" s="256"/>
      <c r="J116" s="256"/>
      <c r="K116" s="256"/>
      <c r="L116" s="256"/>
      <c r="M116" s="256"/>
      <c r="N116" s="256"/>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row>
    <row r="117" spans="1:148" s="70" customFormat="1" ht="17.25" customHeight="1" x14ac:dyDescent="0.2">
      <c r="A117" s="262" t="s">
        <v>151</v>
      </c>
      <c r="B117" s="262"/>
      <c r="C117" s="262"/>
      <c r="D117" s="262"/>
      <c r="E117" s="262"/>
      <c r="F117" s="262"/>
      <c r="G117" s="262"/>
      <c r="H117" s="262"/>
      <c r="I117" s="262"/>
      <c r="J117" s="262"/>
      <c r="K117" s="262"/>
      <c r="L117" s="262"/>
      <c r="M117" s="262"/>
      <c r="N117" s="262"/>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row>
    <row r="118" spans="1:148" s="70" customFormat="1" ht="11.25" customHeight="1" x14ac:dyDescent="0.2">
      <c r="A118" s="262" t="s">
        <v>152</v>
      </c>
      <c r="B118" s="262"/>
      <c r="C118" s="262"/>
      <c r="D118" s="262"/>
      <c r="E118" s="262"/>
      <c r="F118" s="262"/>
      <c r="G118" s="262"/>
      <c r="H118" s="262"/>
      <c r="I118" s="262"/>
      <c r="J118" s="262"/>
      <c r="K118" s="262"/>
      <c r="L118" s="262"/>
      <c r="M118" s="262"/>
      <c r="N118" s="262"/>
    </row>
    <row r="119" spans="1:148" s="70" customFormat="1" ht="11.25" customHeight="1" x14ac:dyDescent="0.2">
      <c r="A119" s="262" t="s">
        <v>153</v>
      </c>
      <c r="B119" s="262"/>
      <c r="C119" s="262"/>
      <c r="D119" s="262"/>
      <c r="E119" s="262"/>
      <c r="F119" s="262"/>
      <c r="G119" s="262"/>
      <c r="H119" s="262"/>
      <c r="I119" s="262"/>
      <c r="J119" s="262"/>
      <c r="K119" s="262"/>
      <c r="L119" s="262"/>
      <c r="M119" s="262"/>
      <c r="N119" s="262"/>
    </row>
    <row r="120" spans="1:148" s="70" customFormat="1" ht="28.5" customHeight="1" x14ac:dyDescent="0.2">
      <c r="A120" s="262" t="s">
        <v>154</v>
      </c>
      <c r="B120" s="262"/>
      <c r="C120" s="262"/>
      <c r="D120" s="262"/>
      <c r="E120" s="262"/>
      <c r="F120" s="262"/>
      <c r="G120" s="262"/>
      <c r="H120" s="262"/>
      <c r="I120" s="262"/>
      <c r="J120" s="262"/>
      <c r="K120" s="262"/>
      <c r="L120" s="262"/>
      <c r="M120" s="262"/>
      <c r="N120" s="262"/>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row>
    <row r="121" spans="1:148" s="28" customFormat="1" ht="12.75" customHeight="1" x14ac:dyDescent="0.25">
      <c r="A121" s="262" t="s">
        <v>267</v>
      </c>
      <c r="B121" s="262"/>
      <c r="C121" s="262"/>
      <c r="D121" s="262"/>
      <c r="E121" s="262"/>
      <c r="F121" s="262"/>
      <c r="G121" s="262"/>
      <c r="H121" s="262"/>
      <c r="I121" s="262"/>
      <c r="J121" s="262"/>
      <c r="K121" s="262"/>
      <c r="L121" s="262"/>
      <c r="M121" s="262"/>
      <c r="N121" s="262"/>
      <c r="O121" s="70"/>
      <c r="P121" s="70"/>
      <c r="Q121" s="70"/>
      <c r="R121" s="70"/>
      <c r="S121" s="70"/>
      <c r="T121" s="70"/>
      <c r="U121" s="70"/>
      <c r="V121" s="70"/>
    </row>
    <row r="122" spans="1:148" s="28" customFormat="1" ht="41.25" customHeight="1" x14ac:dyDescent="0.25">
      <c r="A122" s="262" t="s">
        <v>155</v>
      </c>
      <c r="B122" s="262"/>
      <c r="C122" s="262"/>
      <c r="D122" s="262"/>
      <c r="E122" s="262"/>
      <c r="F122" s="262"/>
      <c r="G122" s="262"/>
      <c r="H122" s="262"/>
      <c r="I122" s="262"/>
      <c r="J122" s="262"/>
      <c r="K122" s="262"/>
      <c r="L122" s="262"/>
      <c r="M122" s="262"/>
      <c r="N122" s="262"/>
      <c r="O122" s="78"/>
      <c r="P122" s="78"/>
      <c r="Q122" s="78"/>
      <c r="R122" s="78"/>
      <c r="S122" s="78"/>
      <c r="T122" s="78"/>
      <c r="U122" s="78"/>
      <c r="V122" s="78"/>
    </row>
    <row r="123" spans="1:148" s="28" customFormat="1" ht="30" customHeight="1" x14ac:dyDescent="0.25">
      <c r="A123" s="262" t="s">
        <v>260</v>
      </c>
      <c r="B123" s="262"/>
      <c r="C123" s="262"/>
      <c r="D123" s="262"/>
      <c r="E123" s="262"/>
      <c r="F123" s="262"/>
      <c r="G123" s="262"/>
      <c r="H123" s="262"/>
      <c r="I123" s="262"/>
      <c r="J123" s="262"/>
      <c r="K123" s="78"/>
      <c r="L123" s="78"/>
      <c r="M123" s="78"/>
      <c r="N123" s="78"/>
      <c r="O123" s="78"/>
      <c r="P123" s="78"/>
      <c r="Q123" s="78"/>
      <c r="R123" s="78"/>
      <c r="S123" s="78"/>
      <c r="T123" s="78"/>
      <c r="U123" s="78"/>
      <c r="V123" s="78"/>
    </row>
    <row r="124" spans="1:148" s="28" customFormat="1" ht="39.75" customHeight="1" x14ac:dyDescent="0.25">
      <c r="A124" s="262" t="s">
        <v>156</v>
      </c>
      <c r="B124" s="262"/>
      <c r="C124" s="262"/>
      <c r="D124" s="262"/>
      <c r="E124" s="262"/>
      <c r="F124" s="262"/>
      <c r="G124" s="262"/>
      <c r="H124" s="262"/>
      <c r="I124" s="262"/>
      <c r="J124" s="262"/>
      <c r="K124" s="262"/>
      <c r="L124" s="262"/>
      <c r="M124" s="262"/>
      <c r="N124" s="262"/>
      <c r="O124" s="78"/>
      <c r="P124" s="78"/>
      <c r="Q124" s="78"/>
      <c r="R124" s="78"/>
      <c r="S124" s="78"/>
      <c r="T124" s="78"/>
      <c r="U124" s="78"/>
      <c r="V124" s="78"/>
    </row>
    <row r="125" spans="1:148" s="28" customFormat="1" ht="19.5" customHeight="1" x14ac:dyDescent="0.25">
      <c r="A125" s="262" t="s">
        <v>157</v>
      </c>
      <c r="B125" s="262"/>
      <c r="C125" s="262"/>
      <c r="D125" s="262"/>
      <c r="E125" s="262"/>
      <c r="F125" s="262"/>
      <c r="G125" s="262"/>
      <c r="H125" s="262"/>
      <c r="I125" s="262"/>
      <c r="J125" s="262"/>
      <c r="K125" s="262"/>
      <c r="L125" s="262"/>
      <c r="M125" s="262"/>
      <c r="N125" s="262"/>
      <c r="O125" s="70"/>
      <c r="P125" s="70"/>
      <c r="Q125" s="70"/>
      <c r="R125" s="70"/>
      <c r="S125" s="70"/>
      <c r="T125" s="70"/>
      <c r="U125" s="70"/>
      <c r="V125" s="70"/>
    </row>
    <row r="126" spans="1:148" s="28" customFormat="1" ht="19.5" customHeight="1" x14ac:dyDescent="0.25">
      <c r="A126" s="262" t="s">
        <v>158</v>
      </c>
      <c r="B126" s="262"/>
      <c r="C126" s="262"/>
      <c r="D126" s="262"/>
      <c r="E126" s="262"/>
      <c r="F126" s="262"/>
      <c r="G126" s="262"/>
      <c r="H126" s="262"/>
      <c r="I126" s="262"/>
      <c r="J126" s="262"/>
      <c r="K126" s="262"/>
      <c r="L126" s="262"/>
      <c r="M126" s="262"/>
      <c r="N126" s="262"/>
      <c r="O126" s="70"/>
      <c r="P126" s="70"/>
      <c r="Q126" s="70"/>
      <c r="R126" s="70"/>
      <c r="S126" s="70"/>
      <c r="T126" s="70"/>
      <c r="U126" s="70"/>
      <c r="V126" s="70"/>
    </row>
    <row r="127" spans="1:148" s="28" customFormat="1" ht="40.5" customHeight="1" x14ac:dyDescent="0.25">
      <c r="A127" s="262" t="s">
        <v>159</v>
      </c>
      <c r="B127" s="262"/>
      <c r="C127" s="262"/>
      <c r="D127" s="262"/>
      <c r="E127" s="262"/>
      <c r="F127" s="262"/>
      <c r="G127" s="262"/>
      <c r="H127" s="262"/>
      <c r="I127" s="262"/>
      <c r="J127" s="262"/>
      <c r="K127" s="262"/>
      <c r="L127" s="262"/>
      <c r="M127" s="262"/>
      <c r="N127" s="262"/>
      <c r="O127" s="78"/>
      <c r="P127" s="78"/>
      <c r="Q127" s="78"/>
      <c r="R127" s="78"/>
      <c r="S127" s="78"/>
      <c r="T127" s="78"/>
      <c r="U127" s="78"/>
      <c r="V127" s="78"/>
    </row>
    <row r="128" spans="1:148" s="28" customFormat="1" ht="19.5" customHeight="1" x14ac:dyDescent="0.25">
      <c r="A128" s="28" t="s">
        <v>323</v>
      </c>
      <c r="G128" s="108"/>
      <c r="H128" s="108">
        <f>H13+H15-H42</f>
        <v>0</v>
      </c>
      <c r="I128" s="108">
        <f>I13+I15-I42</f>
        <v>0</v>
      </c>
      <c r="J128" s="108">
        <f>J13+J15-J42</f>
        <v>0</v>
      </c>
      <c r="K128" s="108">
        <f t="shared" ref="K128:V128" si="8">K13+K15-K42</f>
        <v>0</v>
      </c>
      <c r="L128" s="108">
        <f t="shared" si="8"/>
        <v>0</v>
      </c>
      <c r="M128" s="108">
        <f t="shared" si="8"/>
        <v>0</v>
      </c>
      <c r="N128" s="108">
        <f t="shared" si="8"/>
        <v>0</v>
      </c>
      <c r="O128" s="108">
        <f t="shared" si="8"/>
        <v>0</v>
      </c>
      <c r="P128" s="108">
        <f t="shared" si="8"/>
        <v>0</v>
      </c>
      <c r="Q128" s="108">
        <f t="shared" si="8"/>
        <v>0</v>
      </c>
      <c r="R128" s="108">
        <f t="shared" si="8"/>
        <v>0</v>
      </c>
      <c r="S128" s="108">
        <f t="shared" si="8"/>
        <v>0</v>
      </c>
      <c r="T128" s="108">
        <f t="shared" si="8"/>
        <v>0</v>
      </c>
      <c r="U128" s="108">
        <f t="shared" si="8"/>
        <v>0</v>
      </c>
      <c r="V128" s="28">
        <f t="shared" si="8"/>
        <v>0</v>
      </c>
    </row>
    <row r="129" spans="11:21" s="28" customFormat="1" ht="19.5" customHeight="1" x14ac:dyDescent="0.25">
      <c r="K129" s="108"/>
      <c r="L129" s="108"/>
      <c r="M129" s="108"/>
      <c r="N129" s="108"/>
      <c r="O129" s="108"/>
      <c r="P129" s="108"/>
      <c r="Q129" s="108"/>
      <c r="R129" s="108"/>
      <c r="S129" s="108"/>
      <c r="T129" s="108"/>
      <c r="U129" s="108"/>
    </row>
    <row r="130" spans="11:21" s="28" customFormat="1" ht="19.5" customHeight="1" x14ac:dyDescent="0.25"/>
    <row r="131" spans="11:21" s="28" customFormat="1" ht="19.5" customHeight="1" x14ac:dyDescent="0.25"/>
    <row r="132" spans="11:21" s="28" customFormat="1" ht="19.5" customHeight="1" x14ac:dyDescent="0.25"/>
    <row r="133" spans="11:21" s="28" customFormat="1" ht="19.5" customHeight="1" x14ac:dyDescent="0.25"/>
    <row r="134" spans="11:21" s="28" customFormat="1" ht="19.5" customHeight="1" x14ac:dyDescent="0.25"/>
    <row r="135" spans="11:21" s="28" customFormat="1" ht="19.5" customHeight="1" x14ac:dyDescent="0.25"/>
    <row r="136" spans="11:21" s="28" customFormat="1" ht="19.5" customHeight="1" x14ac:dyDescent="0.25"/>
    <row r="137" spans="11:21" s="28" customFormat="1" ht="19.5" customHeight="1" x14ac:dyDescent="0.25"/>
    <row r="138" spans="11:21" s="28" customFormat="1" ht="19.5" customHeight="1" x14ac:dyDescent="0.25"/>
    <row r="139" spans="11:21" s="28" customFormat="1" ht="19.5" customHeight="1" x14ac:dyDescent="0.25"/>
    <row r="140" spans="11:21" s="28" customFormat="1" ht="19.5" customHeight="1" x14ac:dyDescent="0.25"/>
    <row r="141" spans="11:21" s="28" customFormat="1" ht="19.5" customHeight="1" x14ac:dyDescent="0.25"/>
    <row r="142" spans="11:21" s="28" customFormat="1" ht="19.5" customHeight="1" x14ac:dyDescent="0.25"/>
    <row r="143" spans="11:21" s="28" customFormat="1" ht="19.5" customHeight="1" x14ac:dyDescent="0.25"/>
    <row r="144" spans="11:21" s="28" customFormat="1" ht="19.5" customHeight="1" x14ac:dyDescent="0.25"/>
    <row r="145" s="28" customFormat="1" ht="19.5" customHeight="1" x14ac:dyDescent="0.25"/>
    <row r="146" s="28" customFormat="1" ht="19.5" customHeight="1" x14ac:dyDescent="0.25"/>
    <row r="147" s="28" customFormat="1" ht="19.5" customHeight="1" x14ac:dyDescent="0.25"/>
    <row r="148" s="28" customFormat="1" ht="19.5" customHeight="1" x14ac:dyDescent="0.25"/>
    <row r="149" s="28" customFormat="1" ht="19.5" customHeight="1" x14ac:dyDescent="0.25"/>
    <row r="150" s="28" customFormat="1" ht="19.5" customHeight="1" x14ac:dyDescent="0.25"/>
    <row r="151" s="28" customFormat="1" ht="19.5" customHeight="1" x14ac:dyDescent="0.25"/>
    <row r="152" s="28" customFormat="1" ht="19.5" customHeight="1" x14ac:dyDescent="0.25"/>
    <row r="153" s="28" customFormat="1" ht="19.5" customHeight="1" x14ac:dyDescent="0.25"/>
    <row r="154" s="28" customFormat="1" ht="19.5" customHeight="1" x14ac:dyDescent="0.25"/>
    <row r="155" s="28" customFormat="1" ht="19.5" customHeight="1" x14ac:dyDescent="0.25"/>
    <row r="156" s="28" customFormat="1" ht="19.5" customHeight="1" x14ac:dyDescent="0.25"/>
    <row r="157" s="28" customFormat="1" ht="19.5" customHeight="1" x14ac:dyDescent="0.25"/>
    <row r="158" s="28" customFormat="1" ht="19.5" customHeight="1" x14ac:dyDescent="0.25"/>
    <row r="159" s="28" customFormat="1" ht="19.5" customHeight="1" x14ac:dyDescent="0.25"/>
    <row r="160" s="28" customFormat="1" ht="19.5" customHeight="1" x14ac:dyDescent="0.25"/>
    <row r="161" s="28" customFormat="1" ht="19.5" customHeight="1" x14ac:dyDescent="0.25"/>
    <row r="162" s="28" customFormat="1" ht="19.5" customHeight="1" x14ac:dyDescent="0.25"/>
    <row r="163" s="28" customFormat="1" ht="19.5" customHeight="1" x14ac:dyDescent="0.25"/>
    <row r="164" s="28" customFormat="1" ht="19.5" customHeight="1" x14ac:dyDescent="0.25"/>
    <row r="165" s="28" customFormat="1" ht="19.5" customHeight="1" x14ac:dyDescent="0.25"/>
    <row r="166" s="28" customFormat="1" ht="19.5" customHeight="1" x14ac:dyDescent="0.25"/>
    <row r="167" s="28" customFormat="1" ht="19.5" customHeight="1" x14ac:dyDescent="0.25"/>
    <row r="168" s="28" customFormat="1" ht="19.5" customHeight="1" x14ac:dyDescent="0.25"/>
    <row r="169" s="28" customFormat="1" ht="19.5" customHeight="1" x14ac:dyDescent="0.25"/>
    <row r="170" s="28" customFormat="1" ht="19.5" customHeight="1" x14ac:dyDescent="0.25"/>
    <row r="171" s="28" customFormat="1" ht="19.5" customHeight="1" x14ac:dyDescent="0.25"/>
    <row r="172" s="28" customFormat="1" ht="19.5" customHeight="1" x14ac:dyDescent="0.25"/>
    <row r="173" s="28" customFormat="1" ht="19.5" customHeight="1" x14ac:dyDescent="0.25"/>
    <row r="174" s="28" customFormat="1" ht="19.5" customHeight="1" x14ac:dyDescent="0.25"/>
    <row r="175" s="28" customFormat="1" ht="19.5" customHeight="1" x14ac:dyDescent="0.25"/>
    <row r="176" s="28" customFormat="1" ht="19.5" customHeight="1" x14ac:dyDescent="0.25"/>
    <row r="177" s="28" customFormat="1" ht="19.5" customHeight="1" x14ac:dyDescent="0.25"/>
    <row r="178" s="28" customFormat="1" ht="19.5" customHeight="1" x14ac:dyDescent="0.25"/>
    <row r="179" s="28" customFormat="1" ht="19.5" customHeight="1" x14ac:dyDescent="0.25"/>
    <row r="180" s="28" customFormat="1" ht="19.5" customHeight="1" x14ac:dyDescent="0.25"/>
    <row r="181" s="28" customFormat="1" ht="19.5" customHeight="1" x14ac:dyDescent="0.25"/>
    <row r="182" s="28" customFormat="1" ht="19.5" customHeight="1" x14ac:dyDescent="0.25"/>
    <row r="183" s="28" customFormat="1" ht="19.5" customHeight="1" x14ac:dyDescent="0.25"/>
    <row r="184" s="28" customFormat="1" ht="19.5" customHeight="1" x14ac:dyDescent="0.25"/>
    <row r="185" s="28" customFormat="1" ht="19.5" customHeight="1" x14ac:dyDescent="0.25"/>
    <row r="186" s="28" customFormat="1" ht="19.5" customHeight="1" x14ac:dyDescent="0.25"/>
    <row r="187" s="28" customFormat="1" ht="19.5" customHeight="1" x14ac:dyDescent="0.25"/>
    <row r="188" s="28" customFormat="1" ht="19.5" customHeight="1" x14ac:dyDescent="0.25"/>
    <row r="189" s="28" customFormat="1" ht="19.5" customHeight="1" x14ac:dyDescent="0.25"/>
    <row r="190" s="28" customFormat="1" ht="19.5" customHeight="1" x14ac:dyDescent="0.25"/>
    <row r="191" s="28" customFormat="1" ht="19.5" customHeight="1" x14ac:dyDescent="0.25"/>
    <row r="192" s="28" customFormat="1" ht="19.5" customHeight="1" x14ac:dyDescent="0.25"/>
    <row r="193" s="28" customFormat="1" ht="19.5" customHeight="1" x14ac:dyDescent="0.25"/>
    <row r="194" s="28" customFormat="1" ht="19.5" customHeight="1" x14ac:dyDescent="0.25"/>
    <row r="195" s="28" customFormat="1" ht="19.5" customHeight="1" x14ac:dyDescent="0.25"/>
    <row r="196" s="28" customFormat="1" ht="19.5" customHeight="1" x14ac:dyDescent="0.25"/>
    <row r="197" s="28" customFormat="1" ht="19.5" customHeight="1" x14ac:dyDescent="0.25"/>
    <row r="198" s="28" customFormat="1" ht="19.5" customHeight="1" x14ac:dyDescent="0.25"/>
    <row r="199" s="28" customFormat="1" ht="19.5" customHeight="1" x14ac:dyDescent="0.25"/>
    <row r="200" s="28" customFormat="1" ht="19.5" customHeight="1" x14ac:dyDescent="0.25"/>
    <row r="201" s="28" customFormat="1" ht="19.5" customHeight="1" x14ac:dyDescent="0.25"/>
    <row r="202" s="28" customFormat="1" ht="19.5" customHeight="1" x14ac:dyDescent="0.25"/>
    <row r="203" s="28" customFormat="1" ht="19.5" customHeight="1" x14ac:dyDescent="0.25"/>
    <row r="204" s="28" customFormat="1" ht="19.5" customHeight="1" x14ac:dyDescent="0.25"/>
    <row r="205" s="28" customFormat="1" ht="19.5" customHeight="1" x14ac:dyDescent="0.25"/>
    <row r="206" s="28" customFormat="1" ht="19.5" customHeight="1" x14ac:dyDescent="0.25"/>
    <row r="207" s="28" customFormat="1" ht="19.5" customHeight="1" x14ac:dyDescent="0.25"/>
    <row r="208" s="28" customFormat="1" ht="19.5" customHeight="1" x14ac:dyDescent="0.25"/>
    <row r="209" s="28" customFormat="1" ht="19.5" customHeight="1" x14ac:dyDescent="0.25"/>
    <row r="210" s="28" customFormat="1" ht="19.5" customHeight="1" x14ac:dyDescent="0.25"/>
    <row r="211" s="28" customFormat="1" ht="19.5" customHeight="1" x14ac:dyDescent="0.25"/>
    <row r="212" s="28" customFormat="1" ht="19.5" customHeight="1" x14ac:dyDescent="0.25"/>
    <row r="213" s="28" customFormat="1" ht="19.5" customHeight="1" x14ac:dyDescent="0.25"/>
    <row r="214" s="28" customFormat="1" ht="19.5" customHeight="1" x14ac:dyDescent="0.25"/>
    <row r="215" s="28" customFormat="1" ht="19.5" customHeight="1" x14ac:dyDescent="0.25"/>
    <row r="216" s="28" customFormat="1" ht="19.5" customHeight="1" x14ac:dyDescent="0.25"/>
    <row r="217" s="28" customFormat="1" ht="19.5" customHeight="1" x14ac:dyDescent="0.25"/>
    <row r="218" s="28" customFormat="1" ht="19.5" customHeight="1" x14ac:dyDescent="0.25"/>
    <row r="219" s="28" customFormat="1" ht="19.5" customHeight="1" x14ac:dyDescent="0.25"/>
    <row r="220" s="28" customFormat="1" ht="19.5" customHeight="1" x14ac:dyDescent="0.25"/>
    <row r="221" s="28" customFormat="1" ht="19.5" customHeight="1" x14ac:dyDescent="0.25"/>
    <row r="222" s="28" customFormat="1" ht="19.5" customHeight="1" x14ac:dyDescent="0.25"/>
    <row r="223" s="28" customFormat="1" ht="19.5" customHeight="1" x14ac:dyDescent="0.25"/>
    <row r="224" s="28" customFormat="1" ht="19.5" customHeight="1" x14ac:dyDescent="0.25"/>
    <row r="225" s="28" customFormat="1" ht="19.5" customHeight="1" x14ac:dyDescent="0.25"/>
    <row r="226" s="28" customFormat="1" ht="19.5" customHeight="1" x14ac:dyDescent="0.25"/>
    <row r="227" s="28" customFormat="1" ht="19.5" customHeight="1" x14ac:dyDescent="0.25"/>
    <row r="228" s="28" customFormat="1" ht="19.5" customHeight="1" x14ac:dyDescent="0.25"/>
    <row r="229" s="28" customFormat="1" ht="19.5" customHeight="1" x14ac:dyDescent="0.25"/>
    <row r="230" s="28" customFormat="1" ht="19.5" customHeight="1" x14ac:dyDescent="0.25"/>
    <row r="231" s="28" customFormat="1" ht="19.5" customHeight="1" x14ac:dyDescent="0.25"/>
    <row r="232" s="28" customFormat="1" ht="19.5" customHeight="1" x14ac:dyDescent="0.25"/>
    <row r="233" s="28" customFormat="1" ht="19.5" customHeight="1" x14ac:dyDescent="0.25"/>
    <row r="234" s="28" customFormat="1" ht="19.5" customHeight="1" x14ac:dyDescent="0.25"/>
    <row r="235" s="28" customFormat="1" ht="19.5" customHeight="1" x14ac:dyDescent="0.25"/>
    <row r="236" s="28" customFormat="1" ht="19.5" customHeight="1" x14ac:dyDescent="0.25"/>
    <row r="237" s="28" customFormat="1" ht="19.5" customHeight="1" x14ac:dyDescent="0.25"/>
    <row r="238" s="28" customFormat="1" ht="19.5" customHeight="1" x14ac:dyDescent="0.25"/>
    <row r="239" s="28" customFormat="1" ht="19.5" customHeight="1" x14ac:dyDescent="0.25"/>
    <row r="240" s="28" customFormat="1" ht="19.5" customHeight="1" x14ac:dyDescent="0.25"/>
    <row r="241" s="28" customFormat="1" ht="19.5" customHeight="1" x14ac:dyDescent="0.25"/>
    <row r="242" s="28" customFormat="1" ht="19.5" customHeight="1" x14ac:dyDescent="0.25"/>
    <row r="243" s="28" customFormat="1" ht="19.5" customHeight="1" x14ac:dyDescent="0.25"/>
    <row r="244" s="28" customFormat="1" ht="19.5" customHeight="1" x14ac:dyDescent="0.25"/>
    <row r="245" s="28" customFormat="1" ht="19.5" customHeight="1" x14ac:dyDescent="0.25"/>
    <row r="246" s="28" customFormat="1" ht="19.5" customHeight="1" x14ac:dyDescent="0.25"/>
    <row r="247" s="28" customFormat="1" ht="19.5" customHeight="1" x14ac:dyDescent="0.25"/>
    <row r="248" s="28" customFormat="1" ht="19.5" customHeight="1" x14ac:dyDescent="0.25"/>
    <row r="249" s="28" customFormat="1" ht="19.5" customHeight="1" x14ac:dyDescent="0.25"/>
    <row r="250" s="28" customFormat="1" ht="19.5" customHeight="1" x14ac:dyDescent="0.25"/>
    <row r="251" s="28" customFormat="1" ht="19.5" customHeight="1" x14ac:dyDescent="0.25"/>
    <row r="252" s="28" customFormat="1" ht="19.5" customHeight="1" x14ac:dyDescent="0.25"/>
    <row r="253" s="28" customFormat="1" ht="19.5" customHeight="1" x14ac:dyDescent="0.25"/>
    <row r="254" s="28" customFormat="1" ht="19.5" customHeight="1" x14ac:dyDescent="0.25"/>
    <row r="255" s="28" customFormat="1" ht="19.5" customHeight="1" x14ac:dyDescent="0.25"/>
    <row r="256" s="28" customFormat="1" ht="19.5" customHeight="1" x14ac:dyDescent="0.25"/>
    <row r="257" s="28" customFormat="1" ht="19.5" customHeight="1" x14ac:dyDescent="0.25"/>
    <row r="258" s="28" customFormat="1" ht="19.5" customHeight="1" x14ac:dyDescent="0.25"/>
    <row r="259" s="28" customFormat="1" ht="19.5" customHeight="1" x14ac:dyDescent="0.25"/>
    <row r="260" s="28" customFormat="1" ht="19.5" customHeight="1" x14ac:dyDescent="0.25"/>
    <row r="261" s="28" customFormat="1" ht="19.5" customHeight="1" x14ac:dyDescent="0.25"/>
    <row r="262" s="28" customFormat="1" ht="19.5" customHeight="1" x14ac:dyDescent="0.25"/>
    <row r="263" s="28" customFormat="1" ht="19.5" customHeight="1" x14ac:dyDescent="0.25"/>
    <row r="264" s="28" customFormat="1" ht="19.5" customHeight="1" x14ac:dyDescent="0.25"/>
    <row r="265" s="28" customFormat="1" ht="19.5" customHeight="1" x14ac:dyDescent="0.25"/>
    <row r="266" s="28" customFormat="1" ht="19.5" customHeight="1" x14ac:dyDescent="0.25"/>
    <row r="267" s="28" customFormat="1" ht="19.5" customHeight="1" x14ac:dyDescent="0.25"/>
    <row r="268" s="28" customFormat="1" ht="19.5" customHeight="1" x14ac:dyDescent="0.25"/>
    <row r="269" s="28" customFormat="1" ht="19.5" customHeight="1" x14ac:dyDescent="0.25"/>
    <row r="270" s="28" customFormat="1" ht="19.5" customHeight="1" x14ac:dyDescent="0.25"/>
    <row r="271" s="28" customFormat="1" ht="19.5" customHeight="1" x14ac:dyDescent="0.25"/>
    <row r="272" s="28" customFormat="1" ht="19.5" customHeight="1" x14ac:dyDescent="0.25"/>
    <row r="273" s="28" customFormat="1" ht="19.5" customHeight="1" x14ac:dyDescent="0.25"/>
    <row r="274" s="28" customFormat="1" ht="19.5" customHeight="1" x14ac:dyDescent="0.25"/>
    <row r="275" s="28" customFormat="1" ht="19.5" customHeight="1" x14ac:dyDescent="0.25"/>
    <row r="276" s="28" customFormat="1" ht="19.5" customHeight="1" x14ac:dyDescent="0.25"/>
    <row r="277" s="28" customFormat="1" ht="19.5" customHeight="1" x14ac:dyDescent="0.25"/>
    <row r="278" s="28" customFormat="1" ht="19.5" customHeight="1" x14ac:dyDescent="0.25"/>
    <row r="279" s="28" customFormat="1" ht="19.5" customHeight="1" x14ac:dyDescent="0.25"/>
    <row r="280" s="28" customFormat="1" ht="19.5" customHeight="1" x14ac:dyDescent="0.25"/>
    <row r="281" s="28" customFormat="1" ht="19.5" customHeight="1" x14ac:dyDescent="0.25"/>
    <row r="282" s="28" customFormat="1" ht="19.5" customHeight="1" x14ac:dyDescent="0.25"/>
    <row r="283" s="28" customFormat="1" ht="19.5" customHeight="1" x14ac:dyDescent="0.25"/>
    <row r="284" s="28" customFormat="1" ht="19.5" customHeight="1" x14ac:dyDescent="0.25"/>
    <row r="285" s="28" customFormat="1" ht="19.5" customHeight="1" x14ac:dyDescent="0.25"/>
    <row r="286" s="28" customFormat="1" ht="19.5" customHeight="1" x14ac:dyDescent="0.25"/>
    <row r="287" s="28" customFormat="1" ht="19.5" customHeight="1" x14ac:dyDescent="0.25"/>
  </sheetData>
  <autoFilter ref="A12:V104">
    <filterColumn colId="0" showButton="0"/>
    <filterColumn colId="1" showButton="0"/>
    <filterColumn colId="2" showButton="0"/>
  </autoFilter>
  <mergeCells count="141">
    <mergeCell ref="A127:N127"/>
    <mergeCell ref="A121:N121"/>
    <mergeCell ref="A122:N122"/>
    <mergeCell ref="A123:J123"/>
    <mergeCell ref="A124:N124"/>
    <mergeCell ref="A125:N125"/>
    <mergeCell ref="A126:N126"/>
    <mergeCell ref="A115:N115"/>
    <mergeCell ref="A116:N116"/>
    <mergeCell ref="A117:N117"/>
    <mergeCell ref="A118:N118"/>
    <mergeCell ref="A119:N119"/>
    <mergeCell ref="A120:N120"/>
    <mergeCell ref="C112:D112"/>
    <mergeCell ref="F112:G112"/>
    <mergeCell ref="H112:I112"/>
    <mergeCell ref="K112:L112"/>
    <mergeCell ref="B113:C113"/>
    <mergeCell ref="A114:N114"/>
    <mergeCell ref="K107:L107"/>
    <mergeCell ref="C109:D109"/>
    <mergeCell ref="F109:G109"/>
    <mergeCell ref="H109:I109"/>
    <mergeCell ref="K109:L109"/>
    <mergeCell ref="B110:C110"/>
    <mergeCell ref="A102:D102"/>
    <mergeCell ref="A103:D103"/>
    <mergeCell ref="A104:D104"/>
    <mergeCell ref="C107:D107"/>
    <mergeCell ref="F107:G107"/>
    <mergeCell ref="H107:I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69:D69"/>
    <mergeCell ref="A70:D70"/>
    <mergeCell ref="A74:D74"/>
    <mergeCell ref="A75:D75"/>
    <mergeCell ref="A76:D76"/>
    <mergeCell ref="A77:D77"/>
    <mergeCell ref="A71:D71"/>
    <mergeCell ref="A72:D72"/>
    <mergeCell ref="A73:D73"/>
    <mergeCell ref="A63:D63"/>
    <mergeCell ref="A64:D64"/>
    <mergeCell ref="A65:D65"/>
    <mergeCell ref="A66:D66"/>
    <mergeCell ref="A67:D67"/>
    <mergeCell ref="A68:D68"/>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30:D30"/>
    <mergeCell ref="A31:D31"/>
    <mergeCell ref="A32:D32"/>
    <mergeCell ref="A20:D20"/>
    <mergeCell ref="A21:D21"/>
    <mergeCell ref="A22:D22"/>
    <mergeCell ref="A23:D23"/>
    <mergeCell ref="A24:D24"/>
    <mergeCell ref="A25:D25"/>
    <mergeCell ref="A29:D29"/>
    <mergeCell ref="A15:D15"/>
    <mergeCell ref="A16:D16"/>
    <mergeCell ref="A17:D17"/>
    <mergeCell ref="A18:D18"/>
    <mergeCell ref="A19:D19"/>
    <mergeCell ref="K9:M9"/>
    <mergeCell ref="N9:P9"/>
    <mergeCell ref="Q9:S9"/>
    <mergeCell ref="A26:D26"/>
    <mergeCell ref="A12:D12"/>
    <mergeCell ref="A13:D13"/>
    <mergeCell ref="Q7:S7"/>
    <mergeCell ref="T7:V7"/>
    <mergeCell ref="K8:M8"/>
    <mergeCell ref="N8:P8"/>
    <mergeCell ref="Q8:S8"/>
    <mergeCell ref="T8:V8"/>
    <mergeCell ref="A14:D14"/>
    <mergeCell ref="A1:P4"/>
    <mergeCell ref="A5:P5"/>
    <mergeCell ref="A6:D11"/>
    <mergeCell ref="E6:E11"/>
    <mergeCell ref="F6:F11"/>
    <mergeCell ref="G6:G11"/>
    <mergeCell ref="H6:V6"/>
    <mergeCell ref="H7:J9"/>
    <mergeCell ref="K7:M7"/>
    <mergeCell ref="N7:P7"/>
    <mergeCell ref="T9:V9"/>
  </mergeCells>
  <printOptions horizontalCentered="1"/>
  <pageMargins left="0.47244094488188981" right="0.27559055118110237" top="0.39370078740157483" bottom="0.23622047244094491" header="0.43307086614173229" footer="0.51181102362204722"/>
  <pageSetup paperSize="9" scale="5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R287"/>
  <sheetViews>
    <sheetView view="pageBreakPreview" topLeftCell="A7" zoomScale="120" zoomScaleSheetLayoutView="120" workbookViewId="0">
      <pane xSplit="7" ySplit="6" topLeftCell="M100" activePane="bottomRight" state="frozen"/>
      <selection activeCell="A7" sqref="A7"/>
      <selection pane="topRight" activeCell="H7" sqref="H7"/>
      <selection pane="bottomLeft" activeCell="A13" sqref="A13"/>
      <selection pane="bottomRight" activeCell="T42" sqref="T42"/>
    </sheetView>
  </sheetViews>
  <sheetFormatPr defaultRowHeight="19.5" customHeight="1" x14ac:dyDescent="0.25"/>
  <cols>
    <col min="1" max="1" width="9.140625" style="7"/>
    <col min="2" max="2" width="6.42578125" style="7" customWidth="1"/>
    <col min="3" max="3" width="8.85546875" style="7" customWidth="1"/>
    <col min="4" max="4" width="9.140625" style="7" customWidth="1"/>
    <col min="5" max="5" width="7.140625" style="7" customWidth="1"/>
    <col min="6" max="6" width="13.42578125" style="7" customWidth="1"/>
    <col min="7" max="7" width="11.28515625" style="7" customWidth="1"/>
    <col min="8" max="8" width="13.140625" style="7" customWidth="1"/>
    <col min="9" max="9" width="13.85546875" style="7" customWidth="1"/>
    <col min="10" max="10" width="12.28515625" style="7" customWidth="1"/>
    <col min="11" max="11" width="16.28515625" style="7" customWidth="1"/>
    <col min="12" max="12" width="16.5703125" style="7" customWidth="1"/>
    <col min="13" max="13" width="15.42578125" style="7" customWidth="1"/>
    <col min="14" max="14" width="14.42578125" style="7" customWidth="1"/>
    <col min="15" max="16" width="14.140625" style="7" customWidth="1"/>
    <col min="17" max="17" width="12.7109375" style="7" customWidth="1"/>
    <col min="18" max="18" width="14" style="7" customWidth="1"/>
    <col min="19" max="19" width="14.140625" style="7" customWidth="1"/>
    <col min="20" max="20" width="16.42578125" style="7" customWidth="1"/>
    <col min="21" max="21" width="16.28515625" style="7" customWidth="1"/>
    <col min="22" max="22" width="15.7109375" style="7" customWidth="1"/>
    <col min="23" max="16384" width="9.140625" style="7"/>
  </cols>
  <sheetData>
    <row r="1" spans="1:75" ht="19.5" customHeight="1" x14ac:dyDescent="0.3">
      <c r="A1" s="39" t="s">
        <v>378</v>
      </c>
    </row>
    <row r="3" spans="1:75" ht="43.5" customHeight="1" x14ac:dyDescent="0.3">
      <c r="A3" s="531" t="s">
        <v>379</v>
      </c>
      <c r="B3" s="531"/>
      <c r="C3" s="531"/>
      <c r="D3" s="531"/>
      <c r="E3" s="531"/>
      <c r="F3" s="531"/>
      <c r="G3" s="531"/>
      <c r="H3" s="531"/>
      <c r="I3" s="531"/>
      <c r="J3" s="531"/>
      <c r="K3" s="531"/>
      <c r="L3" s="531"/>
      <c r="M3" s="531"/>
      <c r="N3" s="531"/>
      <c r="O3" s="73"/>
      <c r="P3" s="73"/>
    </row>
    <row r="4" spans="1:75" ht="24" customHeight="1" x14ac:dyDescent="0.3">
      <c r="A4" s="73"/>
      <c r="B4" s="73"/>
      <c r="C4" s="73"/>
      <c r="D4" s="73"/>
      <c r="E4" s="73"/>
      <c r="F4" s="73"/>
      <c r="G4" s="73"/>
      <c r="H4" s="73"/>
      <c r="I4" s="73"/>
      <c r="J4" s="73"/>
      <c r="K4" s="73"/>
      <c r="L4" s="73"/>
      <c r="M4" s="73"/>
      <c r="N4" s="73"/>
      <c r="O4" s="73"/>
      <c r="P4" s="73"/>
    </row>
    <row r="5" spans="1:75" ht="25.5" customHeight="1" thickBot="1" x14ac:dyDescent="0.3">
      <c r="A5" s="532"/>
      <c r="B5" s="532"/>
      <c r="C5" s="532"/>
      <c r="D5" s="532"/>
      <c r="E5" s="532"/>
      <c r="F5" s="532"/>
      <c r="G5" s="532"/>
      <c r="H5" s="532"/>
      <c r="I5" s="532"/>
      <c r="J5" s="532"/>
      <c r="K5" s="532"/>
      <c r="L5" s="532"/>
      <c r="M5" s="532"/>
      <c r="N5" s="532"/>
      <c r="O5" s="532"/>
      <c r="P5" s="532"/>
    </row>
    <row r="6" spans="1:75" ht="19.5" customHeight="1" thickBot="1" x14ac:dyDescent="0.3">
      <c r="A6" s="475" t="s">
        <v>2</v>
      </c>
      <c r="B6" s="476"/>
      <c r="C6" s="476"/>
      <c r="D6" s="477"/>
      <c r="E6" s="533" t="s">
        <v>27</v>
      </c>
      <c r="F6" s="533" t="s">
        <v>104</v>
      </c>
      <c r="G6" s="533" t="s">
        <v>103</v>
      </c>
      <c r="H6" s="525" t="s">
        <v>243</v>
      </c>
      <c r="I6" s="526"/>
      <c r="J6" s="526"/>
      <c r="K6" s="526"/>
      <c r="L6" s="526"/>
      <c r="M6" s="526"/>
      <c r="N6" s="526"/>
      <c r="O6" s="526"/>
      <c r="P6" s="526"/>
      <c r="Q6" s="526"/>
      <c r="R6" s="526"/>
      <c r="S6" s="526"/>
      <c r="T6" s="526"/>
      <c r="U6" s="526"/>
      <c r="V6" s="527"/>
    </row>
    <row r="7" spans="1:75" ht="19.5" customHeight="1" thickBot="1" x14ac:dyDescent="0.3">
      <c r="A7" s="478"/>
      <c r="B7" s="479"/>
      <c r="C7" s="479"/>
      <c r="D7" s="480"/>
      <c r="E7" s="534"/>
      <c r="F7" s="534"/>
      <c r="G7" s="534"/>
      <c r="H7" s="536" t="s">
        <v>241</v>
      </c>
      <c r="I7" s="537"/>
      <c r="J7" s="538"/>
      <c r="K7" s="525" t="s">
        <v>247</v>
      </c>
      <c r="L7" s="526"/>
      <c r="M7" s="527"/>
      <c r="N7" s="525" t="s">
        <v>247</v>
      </c>
      <c r="O7" s="526"/>
      <c r="P7" s="527"/>
      <c r="Q7" s="525" t="s">
        <v>247</v>
      </c>
      <c r="R7" s="526"/>
      <c r="S7" s="527"/>
      <c r="T7" s="525" t="s">
        <v>247</v>
      </c>
      <c r="U7" s="526"/>
      <c r="V7" s="527"/>
    </row>
    <row r="8" spans="1:75" ht="19.5" customHeight="1" thickBot="1" x14ac:dyDescent="0.3">
      <c r="A8" s="478"/>
      <c r="B8" s="479"/>
      <c r="C8" s="479"/>
      <c r="D8" s="480"/>
      <c r="E8" s="534"/>
      <c r="F8" s="534"/>
      <c r="G8" s="534"/>
      <c r="H8" s="539"/>
      <c r="I8" s="540"/>
      <c r="J8" s="541"/>
      <c r="K8" s="528" t="s">
        <v>291</v>
      </c>
      <c r="L8" s="529"/>
      <c r="M8" s="530"/>
      <c r="N8" s="528" t="s">
        <v>293</v>
      </c>
      <c r="O8" s="529"/>
      <c r="P8" s="530"/>
      <c r="Q8" s="528" t="s">
        <v>285</v>
      </c>
      <c r="R8" s="529"/>
      <c r="S8" s="530"/>
      <c r="T8" s="528" t="s">
        <v>386</v>
      </c>
      <c r="U8" s="529"/>
      <c r="V8" s="530"/>
    </row>
    <row r="9" spans="1:75" ht="48" customHeight="1" thickBot="1" x14ac:dyDescent="0.3">
      <c r="A9" s="478"/>
      <c r="B9" s="479"/>
      <c r="C9" s="479"/>
      <c r="D9" s="480"/>
      <c r="E9" s="534"/>
      <c r="F9" s="534"/>
      <c r="G9" s="534"/>
      <c r="H9" s="542"/>
      <c r="I9" s="543"/>
      <c r="J9" s="544"/>
      <c r="K9" s="496" t="s">
        <v>292</v>
      </c>
      <c r="L9" s="497"/>
      <c r="M9" s="498"/>
      <c r="N9" s="499" t="s">
        <v>284</v>
      </c>
      <c r="O9" s="500"/>
      <c r="P9" s="501"/>
      <c r="Q9" s="502" t="s">
        <v>296</v>
      </c>
      <c r="R9" s="503"/>
      <c r="S9" s="504"/>
      <c r="T9" s="493" t="s">
        <v>387</v>
      </c>
      <c r="U9" s="494"/>
      <c r="V9" s="495"/>
    </row>
    <row r="10" spans="1:75" ht="18.75" customHeight="1" x14ac:dyDescent="0.25">
      <c r="A10" s="478"/>
      <c r="B10" s="479"/>
      <c r="C10" s="479"/>
      <c r="D10" s="480"/>
      <c r="E10" s="534"/>
      <c r="F10" s="534"/>
      <c r="G10" s="534"/>
      <c r="H10" s="201" t="s">
        <v>274</v>
      </c>
      <c r="I10" s="201" t="s">
        <v>275</v>
      </c>
      <c r="J10" s="201" t="s">
        <v>276</v>
      </c>
      <c r="K10" s="201" t="s">
        <v>274</v>
      </c>
      <c r="L10" s="201" t="s">
        <v>275</v>
      </c>
      <c r="M10" s="201" t="s">
        <v>276</v>
      </c>
      <c r="N10" s="201" t="s">
        <v>274</v>
      </c>
      <c r="O10" s="201" t="s">
        <v>275</v>
      </c>
      <c r="P10" s="201" t="s">
        <v>276</v>
      </c>
      <c r="Q10" s="201" t="s">
        <v>274</v>
      </c>
      <c r="R10" s="201" t="s">
        <v>275</v>
      </c>
      <c r="S10" s="201" t="s">
        <v>276</v>
      </c>
      <c r="T10" s="201" t="s">
        <v>274</v>
      </c>
      <c r="U10" s="201" t="s">
        <v>275</v>
      </c>
      <c r="V10" s="201" t="s">
        <v>276</v>
      </c>
    </row>
    <row r="11" spans="1:75" ht="44.25" customHeight="1" thickBot="1" x14ac:dyDescent="0.3">
      <c r="A11" s="481"/>
      <c r="B11" s="482"/>
      <c r="C11" s="482"/>
      <c r="D11" s="483"/>
      <c r="E11" s="535"/>
      <c r="F11" s="535"/>
      <c r="G11" s="535"/>
      <c r="H11" s="202" t="s">
        <v>39</v>
      </c>
      <c r="I11" s="202" t="s">
        <v>101</v>
      </c>
      <c r="J11" s="202" t="s">
        <v>102</v>
      </c>
      <c r="K11" s="202" t="s">
        <v>39</v>
      </c>
      <c r="L11" s="202" t="s">
        <v>101</v>
      </c>
      <c r="M11" s="202" t="s">
        <v>102</v>
      </c>
      <c r="N11" s="202" t="s">
        <v>39</v>
      </c>
      <c r="O11" s="202" t="s">
        <v>101</v>
      </c>
      <c r="P11" s="202" t="s">
        <v>102</v>
      </c>
      <c r="Q11" s="202" t="s">
        <v>39</v>
      </c>
      <c r="R11" s="202" t="s">
        <v>101</v>
      </c>
      <c r="S11" s="202" t="s">
        <v>102</v>
      </c>
      <c r="T11" s="202" t="s">
        <v>39</v>
      </c>
      <c r="U11" s="202" t="s">
        <v>101</v>
      </c>
      <c r="V11" s="202" t="s">
        <v>102</v>
      </c>
    </row>
    <row r="12" spans="1:75" ht="13.5" customHeight="1" thickBot="1" x14ac:dyDescent="0.3">
      <c r="A12" s="257">
        <v>1</v>
      </c>
      <c r="B12" s="258"/>
      <c r="C12" s="258"/>
      <c r="D12" s="259"/>
      <c r="E12" s="82">
        <v>2</v>
      </c>
      <c r="F12" s="82">
        <v>3</v>
      </c>
      <c r="G12" s="83">
        <v>4</v>
      </c>
      <c r="H12" s="83">
        <v>5</v>
      </c>
      <c r="I12" s="83">
        <v>6</v>
      </c>
      <c r="J12" s="83">
        <v>7</v>
      </c>
      <c r="K12" s="83">
        <v>8</v>
      </c>
      <c r="L12" s="83">
        <v>9</v>
      </c>
      <c r="M12" s="83">
        <v>10</v>
      </c>
      <c r="N12" s="83">
        <v>11</v>
      </c>
      <c r="O12" s="83">
        <v>12</v>
      </c>
      <c r="P12" s="83">
        <v>13</v>
      </c>
      <c r="Q12" s="83">
        <v>14</v>
      </c>
      <c r="R12" s="83">
        <v>15</v>
      </c>
      <c r="S12" s="83">
        <v>16</v>
      </c>
      <c r="T12" s="83">
        <v>17</v>
      </c>
      <c r="U12" s="83">
        <v>18</v>
      </c>
      <c r="V12" s="83">
        <v>19</v>
      </c>
    </row>
    <row r="13" spans="1:75" s="28" customFormat="1" ht="30" customHeight="1" x14ac:dyDescent="0.25">
      <c r="A13" s="472" t="s">
        <v>244</v>
      </c>
      <c r="B13" s="472"/>
      <c r="C13" s="472"/>
      <c r="D13" s="472"/>
      <c r="E13" s="86" t="s">
        <v>28</v>
      </c>
      <c r="F13" s="86" t="s">
        <v>9</v>
      </c>
      <c r="G13" s="223" t="s">
        <v>9</v>
      </c>
      <c r="H13" s="122">
        <f>K13+N13+Q13+T13</f>
        <v>0</v>
      </c>
      <c r="I13" s="122">
        <f>L13+O13+R13+U13</f>
        <v>0</v>
      </c>
      <c r="J13" s="122">
        <f>M13+P13+S13+V13</f>
        <v>0</v>
      </c>
      <c r="K13" s="122"/>
      <c r="L13" s="122"/>
      <c r="M13" s="230"/>
      <c r="N13" s="230"/>
      <c r="O13" s="230"/>
      <c r="P13" s="230"/>
      <c r="Q13" s="230"/>
      <c r="R13" s="230"/>
      <c r="S13" s="230"/>
      <c r="T13" s="230"/>
      <c r="U13" s="230"/>
      <c r="V13" s="230"/>
    </row>
    <row r="14" spans="1:75" s="28" customFormat="1" ht="21" customHeight="1" x14ac:dyDescent="0.25">
      <c r="A14" s="472" t="s">
        <v>254</v>
      </c>
      <c r="B14" s="472"/>
      <c r="C14" s="472"/>
      <c r="D14" s="472"/>
      <c r="E14" s="86" t="s">
        <v>160</v>
      </c>
      <c r="F14" s="87" t="s">
        <v>9</v>
      </c>
      <c r="G14" s="224" t="s">
        <v>9</v>
      </c>
      <c r="H14" s="122">
        <f t="shared" ref="H14:J100" si="0">K14+N14+Q14+T14</f>
        <v>0</v>
      </c>
      <c r="I14" s="122">
        <f t="shared" si="0"/>
        <v>0</v>
      </c>
      <c r="J14" s="122">
        <f t="shared" si="0"/>
        <v>0</v>
      </c>
      <c r="K14" s="121"/>
      <c r="L14" s="121"/>
      <c r="M14" s="121"/>
      <c r="N14" s="121"/>
      <c r="O14" s="121"/>
      <c r="P14" s="121"/>
      <c r="Q14" s="121"/>
      <c r="R14" s="121"/>
      <c r="S14" s="121"/>
      <c r="T14" s="121"/>
      <c r="U14" s="121"/>
      <c r="V14" s="12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s="28" customFormat="1" ht="15.75" customHeight="1" x14ac:dyDescent="0.25">
      <c r="A15" s="472" t="s">
        <v>105</v>
      </c>
      <c r="B15" s="472"/>
      <c r="C15" s="472"/>
      <c r="D15" s="472"/>
      <c r="E15" s="86">
        <v>1000</v>
      </c>
      <c r="F15" s="85"/>
      <c r="G15" s="217"/>
      <c r="H15" s="123">
        <f t="shared" si="0"/>
        <v>23153919.379999999</v>
      </c>
      <c r="I15" s="123">
        <f t="shared" si="0"/>
        <v>14800000</v>
      </c>
      <c r="J15" s="123">
        <f t="shared" si="0"/>
        <v>0</v>
      </c>
      <c r="K15" s="123">
        <f>K16+K19+K20+K21+K32+K26</f>
        <v>10130000</v>
      </c>
      <c r="L15" s="123">
        <f>L16+L19+L20+L21+L32+L26</f>
        <v>11000000</v>
      </c>
      <c r="M15" s="123">
        <f>M16+M19+M20+M21+M32+M26</f>
        <v>0</v>
      </c>
      <c r="N15" s="123">
        <f>N16+N19+N20+N21+N32+N26</f>
        <v>2475800</v>
      </c>
      <c r="O15" s="123">
        <f>O16+O19+O20+O21+O32+O26</f>
        <v>3800000</v>
      </c>
      <c r="P15" s="123">
        <f>P16+P19+P20+P21+P32+P26+P29</f>
        <v>0</v>
      </c>
      <c r="Q15" s="123">
        <f>Q16+Q19+Q20+Q21+Q32+Q26</f>
        <v>250000</v>
      </c>
      <c r="R15" s="123">
        <f>R16+R19+R20+R21+R32+R26+R29</f>
        <v>0</v>
      </c>
      <c r="S15" s="123">
        <f>S16+S19+S20+S21+S32+S26+S29</f>
        <v>0</v>
      </c>
      <c r="T15" s="123">
        <f>T16+T19+T20+T21+T32+T26</f>
        <v>10298119.380000001</v>
      </c>
      <c r="U15" s="123">
        <f>U16+U19+U20+U21+U32+U26</f>
        <v>0</v>
      </c>
      <c r="V15" s="123">
        <f>V16+V19+V20+V21+V32+V26</f>
        <v>0</v>
      </c>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row>
    <row r="16" spans="1:75" s="28" customFormat="1" ht="14.25" customHeight="1" x14ac:dyDescent="0.25">
      <c r="A16" s="319" t="s">
        <v>106</v>
      </c>
      <c r="B16" s="319"/>
      <c r="C16" s="319"/>
      <c r="D16" s="319"/>
      <c r="E16" s="81">
        <v>1100</v>
      </c>
      <c r="F16" s="84">
        <v>120</v>
      </c>
      <c r="G16" s="200"/>
      <c r="H16" s="121">
        <f t="shared" si="0"/>
        <v>0</v>
      </c>
      <c r="I16" s="121">
        <f t="shared" si="0"/>
        <v>0</v>
      </c>
      <c r="J16" s="121">
        <f t="shared" si="0"/>
        <v>0</v>
      </c>
      <c r="K16" s="121"/>
      <c r="L16" s="121"/>
      <c r="M16" s="121"/>
      <c r="N16" s="121"/>
      <c r="O16" s="121"/>
      <c r="P16" s="121"/>
      <c r="Q16" s="121"/>
      <c r="R16" s="121"/>
      <c r="S16" s="121"/>
      <c r="T16" s="121"/>
      <c r="U16" s="121"/>
      <c r="V16" s="12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1:75" s="28" customFormat="1" ht="15.75" customHeight="1" x14ac:dyDescent="0.25">
      <c r="A17" s="319" t="s">
        <v>24</v>
      </c>
      <c r="B17" s="319"/>
      <c r="C17" s="319"/>
      <c r="D17" s="319"/>
      <c r="E17" s="76"/>
      <c r="F17" s="76"/>
      <c r="G17" s="200"/>
      <c r="H17" s="121">
        <f t="shared" si="0"/>
        <v>0</v>
      </c>
      <c r="I17" s="121">
        <f t="shared" si="0"/>
        <v>0</v>
      </c>
      <c r="J17" s="121">
        <f t="shared" si="0"/>
        <v>0</v>
      </c>
      <c r="K17" s="121"/>
      <c r="L17" s="121"/>
      <c r="M17" s="121"/>
      <c r="N17" s="121"/>
      <c r="O17" s="121"/>
      <c r="P17" s="121"/>
      <c r="Q17" s="121"/>
      <c r="R17" s="121"/>
      <c r="S17" s="121"/>
      <c r="T17" s="121"/>
      <c r="U17" s="121"/>
      <c r="V17" s="12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1:75" s="28" customFormat="1" ht="15" customHeight="1" x14ac:dyDescent="0.25">
      <c r="A18" s="319"/>
      <c r="B18" s="319"/>
      <c r="C18" s="319"/>
      <c r="D18" s="319"/>
      <c r="E18" s="81">
        <v>1110</v>
      </c>
      <c r="F18" s="84">
        <v>120</v>
      </c>
      <c r="G18" s="200"/>
      <c r="H18" s="121">
        <f t="shared" si="0"/>
        <v>0</v>
      </c>
      <c r="I18" s="121">
        <f t="shared" si="0"/>
        <v>0</v>
      </c>
      <c r="J18" s="121">
        <f t="shared" si="0"/>
        <v>0</v>
      </c>
      <c r="K18" s="121"/>
      <c r="L18" s="121"/>
      <c r="M18" s="121"/>
      <c r="N18" s="121"/>
      <c r="O18" s="121"/>
      <c r="P18" s="121"/>
      <c r="Q18" s="121"/>
      <c r="R18" s="121"/>
      <c r="S18" s="121"/>
      <c r="T18" s="121"/>
      <c r="U18" s="121"/>
      <c r="V18" s="12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1:75" s="28" customFormat="1" ht="33" customHeight="1" x14ac:dyDescent="0.25">
      <c r="A19" s="319" t="s">
        <v>107</v>
      </c>
      <c r="B19" s="319"/>
      <c r="C19" s="319"/>
      <c r="D19" s="319"/>
      <c r="E19" s="81">
        <v>1200</v>
      </c>
      <c r="F19" s="84">
        <v>130</v>
      </c>
      <c r="G19" s="200"/>
      <c r="H19" s="121">
        <f t="shared" si="0"/>
        <v>0</v>
      </c>
      <c r="I19" s="121">
        <f t="shared" si="0"/>
        <v>0</v>
      </c>
      <c r="J19" s="121">
        <f t="shared" si="0"/>
        <v>0</v>
      </c>
      <c r="K19" s="121"/>
      <c r="L19" s="121"/>
      <c r="M19" s="121"/>
      <c r="N19" s="121"/>
      <c r="O19" s="121"/>
      <c r="P19" s="121"/>
      <c r="Q19" s="121"/>
      <c r="R19" s="121"/>
      <c r="S19" s="121"/>
      <c r="T19" s="121"/>
      <c r="U19" s="121"/>
      <c r="V19" s="12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row>
    <row r="20" spans="1:75" s="28" customFormat="1" ht="61.5" customHeight="1" x14ac:dyDescent="0.25">
      <c r="A20" s="319" t="s">
        <v>261</v>
      </c>
      <c r="B20" s="319"/>
      <c r="C20" s="319"/>
      <c r="D20" s="319"/>
      <c r="E20" s="81">
        <v>1210</v>
      </c>
      <c r="F20" s="84">
        <v>130</v>
      </c>
      <c r="G20" s="200"/>
      <c r="H20" s="121">
        <f t="shared" si="0"/>
        <v>0</v>
      </c>
      <c r="I20" s="121">
        <f t="shared" si="0"/>
        <v>0</v>
      </c>
      <c r="J20" s="121">
        <f t="shared" si="0"/>
        <v>0</v>
      </c>
      <c r="K20" s="121"/>
      <c r="L20" s="121"/>
      <c r="M20" s="121"/>
      <c r="N20" s="121"/>
      <c r="O20" s="121"/>
      <c r="P20" s="121"/>
      <c r="Q20" s="121"/>
      <c r="R20" s="121"/>
      <c r="S20" s="121"/>
      <c r="T20" s="121"/>
      <c r="U20" s="121"/>
      <c r="V20" s="12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row>
    <row r="21" spans="1:75" s="28" customFormat="1" ht="50.25" customHeight="1" x14ac:dyDescent="0.25">
      <c r="A21" s="319" t="s">
        <v>262</v>
      </c>
      <c r="B21" s="319"/>
      <c r="C21" s="319"/>
      <c r="D21" s="319"/>
      <c r="E21" s="81">
        <v>1220</v>
      </c>
      <c r="F21" s="84">
        <v>130</v>
      </c>
      <c r="G21" s="200"/>
      <c r="H21" s="121">
        <f t="shared" si="0"/>
        <v>0</v>
      </c>
      <c r="I21" s="121">
        <f t="shared" si="0"/>
        <v>0</v>
      </c>
      <c r="J21" s="121">
        <f t="shared" si="0"/>
        <v>0</v>
      </c>
      <c r="K21" s="121"/>
      <c r="L21" s="121"/>
      <c r="M21" s="121"/>
      <c r="N21" s="121"/>
      <c r="O21" s="121"/>
      <c r="P21" s="121"/>
      <c r="Q21" s="121"/>
      <c r="R21" s="121"/>
      <c r="S21" s="121"/>
      <c r="T21" s="121"/>
      <c r="U21" s="121"/>
      <c r="V21" s="12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row>
    <row r="22" spans="1:75" s="28" customFormat="1" ht="11.1" customHeight="1" x14ac:dyDescent="0.25">
      <c r="A22" s="319"/>
      <c r="B22" s="319"/>
      <c r="C22" s="319"/>
      <c r="D22" s="319"/>
      <c r="E22" s="76"/>
      <c r="F22" s="76"/>
      <c r="G22" s="200"/>
      <c r="H22" s="121">
        <f t="shared" si="0"/>
        <v>0</v>
      </c>
      <c r="I22" s="121">
        <f t="shared" si="0"/>
        <v>0</v>
      </c>
      <c r="J22" s="121">
        <f t="shared" si="0"/>
        <v>0</v>
      </c>
      <c r="K22" s="121"/>
      <c r="L22" s="121"/>
      <c r="M22" s="121"/>
      <c r="N22" s="121"/>
      <c r="O22" s="121"/>
      <c r="P22" s="121"/>
      <c r="Q22" s="121"/>
      <c r="R22" s="121"/>
      <c r="S22" s="121"/>
      <c r="T22" s="121"/>
      <c r="U22" s="121"/>
      <c r="V22" s="12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row>
    <row r="23" spans="1:75" s="28" customFormat="1" ht="26.25" customHeight="1" x14ac:dyDescent="0.25">
      <c r="A23" s="319" t="s">
        <v>108</v>
      </c>
      <c r="B23" s="319"/>
      <c r="C23" s="319"/>
      <c r="D23" s="319"/>
      <c r="E23" s="81">
        <v>1300</v>
      </c>
      <c r="F23" s="84">
        <v>140</v>
      </c>
      <c r="G23" s="200"/>
      <c r="H23" s="121">
        <f t="shared" si="0"/>
        <v>0</v>
      </c>
      <c r="I23" s="121">
        <f t="shared" si="0"/>
        <v>0</v>
      </c>
      <c r="J23" s="121">
        <f t="shared" si="0"/>
        <v>0</v>
      </c>
      <c r="K23" s="121"/>
      <c r="L23" s="121"/>
      <c r="M23" s="121"/>
      <c r="N23" s="121"/>
      <c r="O23" s="121"/>
      <c r="P23" s="121"/>
      <c r="Q23" s="121"/>
      <c r="R23" s="121"/>
      <c r="S23" s="121"/>
      <c r="T23" s="121"/>
      <c r="U23" s="121"/>
      <c r="V23" s="12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row>
    <row r="24" spans="1:75" s="28" customFormat="1" ht="11.1" customHeight="1" x14ac:dyDescent="0.25">
      <c r="A24" s="319" t="s">
        <v>24</v>
      </c>
      <c r="B24" s="319"/>
      <c r="C24" s="319"/>
      <c r="D24" s="319"/>
      <c r="E24" s="76"/>
      <c r="F24" s="84"/>
      <c r="G24" s="200"/>
      <c r="H24" s="121">
        <f t="shared" si="0"/>
        <v>0</v>
      </c>
      <c r="I24" s="121">
        <f t="shared" si="0"/>
        <v>0</v>
      </c>
      <c r="J24" s="121">
        <f t="shared" si="0"/>
        <v>0</v>
      </c>
      <c r="K24" s="121"/>
      <c r="L24" s="121"/>
      <c r="M24" s="121"/>
      <c r="N24" s="121"/>
      <c r="O24" s="121"/>
      <c r="P24" s="121"/>
      <c r="Q24" s="121"/>
      <c r="R24" s="121"/>
      <c r="S24" s="121"/>
      <c r="T24" s="121"/>
      <c r="U24" s="121"/>
      <c r="V24" s="12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row>
    <row r="25" spans="1:75" s="28" customFormat="1" ht="13.5" customHeight="1" x14ac:dyDescent="0.25">
      <c r="A25" s="319"/>
      <c r="B25" s="319"/>
      <c r="C25" s="319"/>
      <c r="D25" s="319"/>
      <c r="E25" s="81">
        <v>1310</v>
      </c>
      <c r="F25" s="84">
        <v>140</v>
      </c>
      <c r="G25" s="200"/>
      <c r="H25" s="121">
        <f t="shared" si="0"/>
        <v>0</v>
      </c>
      <c r="I25" s="121">
        <f t="shared" si="0"/>
        <v>0</v>
      </c>
      <c r="J25" s="121">
        <f t="shared" si="0"/>
        <v>0</v>
      </c>
      <c r="K25" s="121"/>
      <c r="L25" s="121"/>
      <c r="M25" s="121"/>
      <c r="N25" s="121"/>
      <c r="O25" s="121"/>
      <c r="P25" s="121"/>
      <c r="Q25" s="121"/>
      <c r="R25" s="121"/>
      <c r="S25" s="121"/>
      <c r="T25" s="121"/>
      <c r="U25" s="121"/>
      <c r="V25" s="12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row>
    <row r="26" spans="1:75" s="28" customFormat="1" ht="14.25" customHeight="1" x14ac:dyDescent="0.25">
      <c r="A26" s="319" t="s">
        <v>109</v>
      </c>
      <c r="B26" s="319"/>
      <c r="C26" s="319"/>
      <c r="D26" s="319"/>
      <c r="E26" s="81">
        <v>1400</v>
      </c>
      <c r="F26" s="84">
        <v>150</v>
      </c>
      <c r="G26" s="200"/>
      <c r="H26" s="123">
        <f>K26+N26+Q26+T26</f>
        <v>23153919.379999999</v>
      </c>
      <c r="I26" s="123">
        <f>L26+O26+R26+U26</f>
        <v>14800000</v>
      </c>
      <c r="J26" s="123">
        <f>M26+P26+S26+V26</f>
        <v>0</v>
      </c>
      <c r="K26" s="123">
        <f>K27+K31+K32+K33+K43+K28+K29</f>
        <v>10130000</v>
      </c>
      <c r="L26" s="123">
        <f>L27+L31+L32+L33+L43+L28+L29</f>
        <v>11000000</v>
      </c>
      <c r="M26" s="123">
        <f>M27+M31+M32+M33+M43+M28+M29</f>
        <v>0</v>
      </c>
      <c r="N26" s="123">
        <f>N27+N31+N32+N33+N28+N29</f>
        <v>2475800</v>
      </c>
      <c r="O26" s="123">
        <f>O27+O31+O32+O33+O43+O28+O29</f>
        <v>3800000</v>
      </c>
      <c r="P26" s="123">
        <f>P27+P31+P32+P33+P43</f>
        <v>0</v>
      </c>
      <c r="Q26" s="123">
        <f>Q27+Q31+Q32+Q33+Q28+Q29</f>
        <v>250000</v>
      </c>
      <c r="R26" s="123">
        <f>R27+R31+R32+R33+R43</f>
        <v>0</v>
      </c>
      <c r="S26" s="123">
        <f>S27+S31+S32+S33+S43</f>
        <v>0</v>
      </c>
      <c r="T26" s="123">
        <f>T27+T31+T32+T33+T28+T29</f>
        <v>10298119.380000001</v>
      </c>
      <c r="U26" s="123">
        <f>U27+U31+U32+U33+U28+U29</f>
        <v>0</v>
      </c>
      <c r="V26" s="123">
        <f>V27+V31+V32+V33+V28+V29</f>
        <v>0</v>
      </c>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row>
    <row r="27" spans="1:75" s="28" customFormat="1" ht="11.1" customHeight="1" x14ac:dyDescent="0.25">
      <c r="A27" s="319" t="s">
        <v>24</v>
      </c>
      <c r="B27" s="319"/>
      <c r="C27" s="319"/>
      <c r="D27" s="319"/>
      <c r="E27" s="76"/>
      <c r="F27" s="76"/>
      <c r="G27" s="200"/>
      <c r="H27" s="121">
        <f t="shared" si="0"/>
        <v>0</v>
      </c>
      <c r="I27" s="121">
        <f t="shared" si="0"/>
        <v>0</v>
      </c>
      <c r="J27" s="121">
        <f t="shared" si="0"/>
        <v>0</v>
      </c>
      <c r="K27" s="121"/>
      <c r="L27" s="121"/>
      <c r="M27" s="121"/>
      <c r="N27" s="121"/>
      <c r="O27" s="121"/>
      <c r="P27" s="121"/>
      <c r="Q27" s="121"/>
      <c r="R27" s="121"/>
      <c r="S27" s="121"/>
      <c r="T27" s="121"/>
      <c r="U27" s="121"/>
      <c r="V27" s="12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row>
    <row r="28" spans="1:75" s="28" customFormat="1" ht="11.1" customHeight="1" x14ac:dyDescent="0.25">
      <c r="A28" s="319" t="s">
        <v>111</v>
      </c>
      <c r="B28" s="319"/>
      <c r="C28" s="319"/>
      <c r="D28" s="319"/>
      <c r="E28" s="84">
        <v>1410</v>
      </c>
      <c r="F28" s="84">
        <v>150</v>
      </c>
      <c r="G28" s="200">
        <v>152</v>
      </c>
      <c r="H28" s="121">
        <f t="shared" si="0"/>
        <v>11173919.380000001</v>
      </c>
      <c r="I28" s="121">
        <f t="shared" si="0"/>
        <v>0</v>
      </c>
      <c r="J28" s="121">
        <f t="shared" si="0"/>
        <v>0</v>
      </c>
      <c r="K28" s="121">
        <f>1148800-1148800</f>
        <v>0</v>
      </c>
      <c r="L28" s="121"/>
      <c r="M28" s="121"/>
      <c r="N28" s="121">
        <f>15000+1901200+875800-1901200-15000</f>
        <v>875800</v>
      </c>
      <c r="O28" s="121"/>
      <c r="P28" s="121"/>
      <c r="Q28" s="121"/>
      <c r="R28" s="121"/>
      <c r="S28" s="121"/>
      <c r="T28" s="121">
        <f>750000+100000+450000+415000+300000+1960000+681000+500000+500000+320000+220000+600000+750000+700000+300000+370000+113100+210000+20000+400000+90000+150000-980.62+200000+200000</f>
        <v>10298119.380000001</v>
      </c>
      <c r="U28" s="121"/>
      <c r="V28" s="12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row>
    <row r="29" spans="1:75" s="28" customFormat="1" ht="19.5" customHeight="1" x14ac:dyDescent="0.25">
      <c r="A29" s="326" t="s">
        <v>26</v>
      </c>
      <c r="B29" s="327"/>
      <c r="C29" s="327"/>
      <c r="D29" s="328"/>
      <c r="E29" s="236">
        <v>1420</v>
      </c>
      <c r="F29" s="76"/>
      <c r="G29" s="200">
        <v>162</v>
      </c>
      <c r="H29" s="123">
        <f>K29+N29+Q29+T29</f>
        <v>11980000</v>
      </c>
      <c r="I29" s="123">
        <f>L29+O29+R29+U29</f>
        <v>14800000</v>
      </c>
      <c r="J29" s="123">
        <f>M29+P29+S29+V29</f>
        <v>0</v>
      </c>
      <c r="K29" s="234">
        <f>16130000-4000000+4000000-6000000-3050000+3050000+1600000-1600000</f>
        <v>10130000</v>
      </c>
      <c r="L29" s="123">
        <v>11000000</v>
      </c>
      <c r="M29" s="123"/>
      <c r="N29" s="234">
        <f>1600000+4000000-4000000-1600000+1600000</f>
        <v>1600000</v>
      </c>
      <c r="O29" s="123">
        <v>3800000</v>
      </c>
      <c r="P29" s="121"/>
      <c r="Q29" s="123">
        <f>250000</f>
        <v>250000</v>
      </c>
      <c r="R29" s="121"/>
      <c r="S29" s="121"/>
      <c r="T29" s="121"/>
      <c r="U29" s="121"/>
      <c r="V29" s="12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row>
    <row r="30" spans="1:75" s="28" customFormat="1" ht="14.25" customHeight="1" x14ac:dyDescent="0.25">
      <c r="A30" s="319" t="s">
        <v>110</v>
      </c>
      <c r="B30" s="319"/>
      <c r="C30" s="319"/>
      <c r="D30" s="319"/>
      <c r="E30" s="81">
        <v>1500</v>
      </c>
      <c r="F30" s="84">
        <v>180</v>
      </c>
      <c r="G30" s="200"/>
      <c r="H30" s="121">
        <f t="shared" si="0"/>
        <v>0</v>
      </c>
      <c r="I30" s="121">
        <f t="shared" si="0"/>
        <v>0</v>
      </c>
      <c r="J30" s="121">
        <f t="shared" si="0"/>
        <v>0</v>
      </c>
      <c r="K30" s="121"/>
      <c r="L30" s="121"/>
      <c r="M30" s="121"/>
      <c r="N30" s="121"/>
      <c r="O30" s="121"/>
      <c r="P30" s="121"/>
      <c r="Q30" s="121"/>
      <c r="R30" s="121"/>
      <c r="S30" s="121"/>
      <c r="T30" s="121"/>
      <c r="U30" s="121"/>
      <c r="V30" s="12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row>
    <row r="31" spans="1:75" s="28" customFormat="1" ht="11.1" customHeight="1" x14ac:dyDescent="0.25">
      <c r="A31" s="319" t="s">
        <v>24</v>
      </c>
      <c r="B31" s="319"/>
      <c r="C31" s="319"/>
      <c r="D31" s="319"/>
      <c r="E31" s="76"/>
      <c r="F31" s="76"/>
      <c r="G31" s="200"/>
      <c r="H31" s="121">
        <f t="shared" si="0"/>
        <v>0</v>
      </c>
      <c r="I31" s="121">
        <f t="shared" si="0"/>
        <v>0</v>
      </c>
      <c r="J31" s="121">
        <f t="shared" si="0"/>
        <v>0</v>
      </c>
      <c r="K31" s="121"/>
      <c r="L31" s="121"/>
      <c r="M31" s="121"/>
      <c r="N31" s="121"/>
      <c r="O31" s="121"/>
      <c r="P31" s="121"/>
      <c r="Q31" s="121"/>
      <c r="R31" s="121"/>
      <c r="S31" s="121"/>
      <c r="T31" s="121"/>
      <c r="U31" s="121"/>
      <c r="V31" s="12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row>
    <row r="32" spans="1:75" s="28" customFormat="1" ht="15" customHeight="1" x14ac:dyDescent="0.25">
      <c r="A32" s="319"/>
      <c r="B32" s="319"/>
      <c r="C32" s="319"/>
      <c r="D32" s="319"/>
      <c r="E32" s="81">
        <v>1510</v>
      </c>
      <c r="F32" s="84">
        <v>180</v>
      </c>
      <c r="G32" s="200"/>
      <c r="H32" s="121">
        <f t="shared" si="0"/>
        <v>0</v>
      </c>
      <c r="I32" s="121">
        <f t="shared" si="0"/>
        <v>0</v>
      </c>
      <c r="J32" s="121">
        <f t="shared" si="0"/>
        <v>0</v>
      </c>
      <c r="K32" s="228"/>
      <c r="L32" s="228"/>
      <c r="M32" s="228"/>
      <c r="N32" s="228"/>
      <c r="O32" s="228"/>
      <c r="P32" s="121"/>
      <c r="Q32" s="121"/>
      <c r="R32" s="121"/>
      <c r="S32" s="121"/>
      <c r="T32" s="121"/>
      <c r="U32" s="121"/>
      <c r="V32" s="12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row>
    <row r="33" spans="1:75" s="28" customFormat="1" ht="29.25" customHeight="1" x14ac:dyDescent="0.25">
      <c r="A33" s="319"/>
      <c r="B33" s="319"/>
      <c r="C33" s="319"/>
      <c r="D33" s="319"/>
      <c r="E33" s="81">
        <v>1520</v>
      </c>
      <c r="F33" s="84">
        <v>180</v>
      </c>
      <c r="G33" s="200"/>
      <c r="H33" s="121">
        <f t="shared" si="0"/>
        <v>0</v>
      </c>
      <c r="I33" s="121">
        <f t="shared" si="0"/>
        <v>0</v>
      </c>
      <c r="J33" s="121">
        <f t="shared" si="0"/>
        <v>0</v>
      </c>
      <c r="K33" s="121"/>
      <c r="L33" s="121"/>
      <c r="M33" s="121"/>
      <c r="N33" s="121"/>
      <c r="O33" s="121"/>
      <c r="P33" s="121"/>
      <c r="Q33" s="121"/>
      <c r="R33" s="121"/>
      <c r="S33" s="121"/>
      <c r="T33" s="121"/>
      <c r="U33" s="121"/>
      <c r="V33" s="12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row>
    <row r="34" spans="1:75" s="28" customFormat="1" ht="11.1" customHeight="1" x14ac:dyDescent="0.25">
      <c r="A34" s="319"/>
      <c r="B34" s="319"/>
      <c r="C34" s="319"/>
      <c r="D34" s="319"/>
      <c r="E34" s="76"/>
      <c r="F34" s="76"/>
      <c r="G34" s="200"/>
      <c r="H34" s="121">
        <f t="shared" si="0"/>
        <v>0</v>
      </c>
      <c r="I34" s="121">
        <f t="shared" si="0"/>
        <v>0</v>
      </c>
      <c r="J34" s="121">
        <f t="shared" si="0"/>
        <v>0</v>
      </c>
      <c r="K34" s="121"/>
      <c r="L34" s="121"/>
      <c r="M34" s="121"/>
      <c r="N34" s="121"/>
      <c r="O34" s="121"/>
      <c r="P34" s="121"/>
      <c r="Q34" s="121"/>
      <c r="R34" s="121"/>
      <c r="S34" s="121"/>
      <c r="T34" s="121"/>
      <c r="U34" s="121"/>
      <c r="V34" s="12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row>
    <row r="35" spans="1:75" s="28" customFormat="1" ht="17.25" customHeight="1" x14ac:dyDescent="0.25">
      <c r="A35" s="319" t="s">
        <v>112</v>
      </c>
      <c r="B35" s="319"/>
      <c r="C35" s="319"/>
      <c r="D35" s="319"/>
      <c r="E35" s="81">
        <v>1900</v>
      </c>
      <c r="F35" s="76"/>
      <c r="G35" s="200"/>
      <c r="H35" s="121">
        <f t="shared" si="0"/>
        <v>0</v>
      </c>
      <c r="I35" s="121">
        <f t="shared" si="0"/>
        <v>0</v>
      </c>
      <c r="J35" s="121">
        <f t="shared" si="0"/>
        <v>0</v>
      </c>
      <c r="K35" s="121"/>
      <c r="L35" s="121"/>
      <c r="M35" s="121"/>
      <c r="N35" s="121"/>
      <c r="O35" s="121"/>
      <c r="P35" s="121"/>
      <c r="Q35" s="121"/>
      <c r="R35" s="121"/>
      <c r="S35" s="121"/>
      <c r="T35" s="121"/>
      <c r="U35" s="121"/>
      <c r="V35" s="12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row>
    <row r="36" spans="1:75" s="28" customFormat="1" ht="14.25" customHeight="1" x14ac:dyDescent="0.25">
      <c r="A36" s="319" t="s">
        <v>24</v>
      </c>
      <c r="B36" s="319"/>
      <c r="C36" s="319"/>
      <c r="D36" s="319"/>
      <c r="E36" s="76"/>
      <c r="F36" s="76"/>
      <c r="G36" s="200"/>
      <c r="H36" s="121">
        <f t="shared" si="0"/>
        <v>0</v>
      </c>
      <c r="I36" s="121">
        <f t="shared" si="0"/>
        <v>0</v>
      </c>
      <c r="J36" s="121">
        <f t="shared" si="0"/>
        <v>0</v>
      </c>
      <c r="K36" s="121"/>
      <c r="L36" s="121"/>
      <c r="M36" s="121"/>
      <c r="N36" s="121"/>
      <c r="O36" s="121"/>
      <c r="P36" s="121"/>
      <c r="Q36" s="121"/>
      <c r="R36" s="121"/>
      <c r="S36" s="121"/>
      <c r="T36" s="121"/>
      <c r="U36" s="121"/>
      <c r="V36" s="12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row>
    <row r="37" spans="1:75" s="28" customFormat="1" ht="11.1" customHeight="1" x14ac:dyDescent="0.25">
      <c r="A37" s="319"/>
      <c r="B37" s="319"/>
      <c r="C37" s="319"/>
      <c r="D37" s="319"/>
      <c r="E37" s="76"/>
      <c r="F37" s="76"/>
      <c r="G37" s="200"/>
      <c r="H37" s="121">
        <f t="shared" si="0"/>
        <v>0</v>
      </c>
      <c r="I37" s="121">
        <f t="shared" si="0"/>
        <v>0</v>
      </c>
      <c r="J37" s="121">
        <f t="shared" si="0"/>
        <v>0</v>
      </c>
      <c r="K37" s="121"/>
      <c r="L37" s="121"/>
      <c r="M37" s="121"/>
      <c r="N37" s="121"/>
      <c r="O37" s="121"/>
      <c r="P37" s="121"/>
      <c r="Q37" s="121"/>
      <c r="R37" s="121"/>
      <c r="S37" s="121"/>
      <c r="T37" s="121"/>
      <c r="U37" s="121"/>
      <c r="V37" s="12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row>
    <row r="38" spans="1:75" s="28" customFormat="1" ht="11.1" customHeight="1" x14ac:dyDescent="0.25">
      <c r="A38" s="319"/>
      <c r="B38" s="319"/>
      <c r="C38" s="319"/>
      <c r="D38" s="319"/>
      <c r="E38" s="76"/>
      <c r="F38" s="76"/>
      <c r="G38" s="200"/>
      <c r="H38" s="121">
        <f t="shared" si="0"/>
        <v>0</v>
      </c>
      <c r="I38" s="121">
        <f t="shared" si="0"/>
        <v>0</v>
      </c>
      <c r="J38" s="121">
        <f t="shared" si="0"/>
        <v>0</v>
      </c>
      <c r="K38" s="121"/>
      <c r="L38" s="121"/>
      <c r="M38" s="121"/>
      <c r="N38" s="121"/>
      <c r="O38" s="121"/>
      <c r="P38" s="121"/>
      <c r="Q38" s="121"/>
      <c r="R38" s="121"/>
      <c r="S38" s="121"/>
      <c r="T38" s="121"/>
      <c r="U38" s="121"/>
      <c r="V38" s="12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row>
    <row r="39" spans="1:75" s="28" customFormat="1" ht="12.75" customHeight="1" x14ac:dyDescent="0.25">
      <c r="A39" s="319" t="s">
        <v>113</v>
      </c>
      <c r="B39" s="319"/>
      <c r="C39" s="319"/>
      <c r="D39" s="319"/>
      <c r="E39" s="81">
        <v>1980</v>
      </c>
      <c r="F39" s="84" t="s">
        <v>9</v>
      </c>
      <c r="G39" s="200"/>
      <c r="H39" s="121">
        <f t="shared" si="0"/>
        <v>0</v>
      </c>
      <c r="I39" s="121">
        <f t="shared" si="0"/>
        <v>0</v>
      </c>
      <c r="J39" s="121">
        <f t="shared" si="0"/>
        <v>0</v>
      </c>
      <c r="K39" s="121"/>
      <c r="L39" s="121"/>
      <c r="M39" s="121"/>
      <c r="N39" s="121"/>
      <c r="O39" s="121"/>
      <c r="P39" s="121"/>
      <c r="Q39" s="121"/>
      <c r="R39" s="121"/>
      <c r="S39" s="121"/>
      <c r="T39" s="121"/>
      <c r="U39" s="121"/>
      <c r="V39" s="12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row>
    <row r="40" spans="1:75" s="28" customFormat="1" ht="33.75" customHeight="1" x14ac:dyDescent="0.25">
      <c r="A40" s="319" t="s">
        <v>114</v>
      </c>
      <c r="B40" s="319"/>
      <c r="C40" s="319"/>
      <c r="D40" s="319"/>
      <c r="E40" s="81">
        <v>1981</v>
      </c>
      <c r="F40" s="81">
        <v>510</v>
      </c>
      <c r="G40" s="200"/>
      <c r="H40" s="121">
        <f t="shared" si="0"/>
        <v>0</v>
      </c>
      <c r="I40" s="121">
        <f t="shared" si="0"/>
        <v>0</v>
      </c>
      <c r="J40" s="121">
        <f t="shared" si="0"/>
        <v>0</v>
      </c>
      <c r="K40" s="121"/>
      <c r="L40" s="121"/>
      <c r="M40" s="121"/>
      <c r="N40" s="121"/>
      <c r="O40" s="121"/>
      <c r="P40" s="121"/>
      <c r="Q40" s="121"/>
      <c r="R40" s="121"/>
      <c r="S40" s="121"/>
      <c r="T40" s="121"/>
      <c r="U40" s="121"/>
      <c r="V40" s="12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row>
    <row r="41" spans="1:75" s="28" customFormat="1" ht="18" customHeight="1" x14ac:dyDescent="0.25">
      <c r="A41" s="319"/>
      <c r="B41" s="319"/>
      <c r="C41" s="319"/>
      <c r="D41" s="319"/>
      <c r="E41" s="81">
        <v>1990</v>
      </c>
      <c r="F41" s="76"/>
      <c r="G41" s="200"/>
      <c r="H41" s="121">
        <f t="shared" si="0"/>
        <v>0</v>
      </c>
      <c r="I41" s="121">
        <f t="shared" si="0"/>
        <v>0</v>
      </c>
      <c r="J41" s="121">
        <f t="shared" si="0"/>
        <v>0</v>
      </c>
      <c r="K41" s="121"/>
      <c r="L41" s="121"/>
      <c r="M41" s="121"/>
      <c r="N41" s="121"/>
      <c r="O41" s="121"/>
      <c r="P41" s="121"/>
      <c r="Q41" s="121"/>
      <c r="R41" s="121"/>
      <c r="S41" s="121"/>
      <c r="T41" s="121"/>
      <c r="U41" s="121"/>
      <c r="V41" s="12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row>
    <row r="42" spans="1:75" s="28" customFormat="1" ht="18.75" customHeight="1" x14ac:dyDescent="0.25">
      <c r="A42" s="472" t="s">
        <v>115</v>
      </c>
      <c r="B42" s="472"/>
      <c r="C42" s="472"/>
      <c r="D42" s="472"/>
      <c r="E42" s="85">
        <v>2000</v>
      </c>
      <c r="F42" s="85" t="s">
        <v>9</v>
      </c>
      <c r="G42" s="217"/>
      <c r="H42" s="123">
        <f t="shared" si="0"/>
        <v>23153919.379999999</v>
      </c>
      <c r="I42" s="123">
        <f t="shared" si="0"/>
        <v>14800000</v>
      </c>
      <c r="J42" s="123">
        <f t="shared" si="0"/>
        <v>0</v>
      </c>
      <c r="K42" s="123">
        <f t="shared" ref="K42:V42" si="1">K43+K80+K79</f>
        <v>10130000</v>
      </c>
      <c r="L42" s="123">
        <f t="shared" si="1"/>
        <v>11000000</v>
      </c>
      <c r="M42" s="123">
        <f t="shared" si="1"/>
        <v>0</v>
      </c>
      <c r="N42" s="123">
        <f t="shared" si="1"/>
        <v>2475800</v>
      </c>
      <c r="O42" s="123">
        <f t="shared" si="1"/>
        <v>3800000</v>
      </c>
      <c r="P42" s="123">
        <f t="shared" si="1"/>
        <v>0</v>
      </c>
      <c r="Q42" s="123">
        <f t="shared" si="1"/>
        <v>250000</v>
      </c>
      <c r="R42" s="123">
        <f t="shared" si="1"/>
        <v>0</v>
      </c>
      <c r="S42" s="123">
        <f t="shared" si="1"/>
        <v>0</v>
      </c>
      <c r="T42" s="123">
        <f>T43+T80+T79+T56</f>
        <v>10298119.380000001</v>
      </c>
      <c r="U42" s="123">
        <f t="shared" si="1"/>
        <v>0</v>
      </c>
      <c r="V42" s="123">
        <f t="shared" si="1"/>
        <v>0</v>
      </c>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row>
    <row r="43" spans="1:75" s="28" customFormat="1" ht="22.5" customHeight="1" x14ac:dyDescent="0.25">
      <c r="A43" s="506" t="s">
        <v>116</v>
      </c>
      <c r="B43" s="506"/>
      <c r="C43" s="506"/>
      <c r="D43" s="506"/>
      <c r="E43" s="109">
        <v>2100</v>
      </c>
      <c r="F43" s="109" t="s">
        <v>9</v>
      </c>
      <c r="G43" s="225"/>
      <c r="H43" s="121">
        <f t="shared" si="0"/>
        <v>10058119.380000001</v>
      </c>
      <c r="I43" s="121">
        <f t="shared" si="0"/>
        <v>0</v>
      </c>
      <c r="J43" s="121">
        <f t="shared" si="0"/>
        <v>0</v>
      </c>
      <c r="K43" s="123">
        <f t="shared" ref="K43:V43" si="2">K44+K46+K48+K50+K51+K53+K49+K47+K45</f>
        <v>0</v>
      </c>
      <c r="L43" s="123">
        <f t="shared" si="2"/>
        <v>0</v>
      </c>
      <c r="M43" s="123">
        <f t="shared" si="2"/>
        <v>0</v>
      </c>
      <c r="N43" s="123">
        <f t="shared" si="2"/>
        <v>0</v>
      </c>
      <c r="O43" s="123">
        <f t="shared" si="2"/>
        <v>0</v>
      </c>
      <c r="P43" s="123">
        <f t="shared" si="2"/>
        <v>0</v>
      </c>
      <c r="Q43" s="123">
        <f t="shared" si="2"/>
        <v>0</v>
      </c>
      <c r="R43" s="123">
        <f t="shared" si="2"/>
        <v>0</v>
      </c>
      <c r="S43" s="123">
        <f t="shared" si="2"/>
        <v>0</v>
      </c>
      <c r="T43" s="123">
        <f>T44+T46+T48+T50+T51+T53+T49+T47+T45</f>
        <v>10058119.380000001</v>
      </c>
      <c r="U43" s="123">
        <f t="shared" si="2"/>
        <v>0</v>
      </c>
      <c r="V43" s="123">
        <f t="shared" si="2"/>
        <v>0</v>
      </c>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row>
    <row r="44" spans="1:75" s="28" customFormat="1" ht="22.5" customHeight="1" x14ac:dyDescent="0.25">
      <c r="A44" s="506" t="s">
        <v>117</v>
      </c>
      <c r="B44" s="506"/>
      <c r="C44" s="506"/>
      <c r="D44" s="506"/>
      <c r="E44" s="109">
        <v>2110</v>
      </c>
      <c r="F44" s="109">
        <v>111</v>
      </c>
      <c r="G44" s="225">
        <v>211</v>
      </c>
      <c r="H44" s="121">
        <f t="shared" si="0"/>
        <v>7745402.3200000003</v>
      </c>
      <c r="I44" s="121">
        <f t="shared" si="0"/>
        <v>0</v>
      </c>
      <c r="J44" s="121">
        <f t="shared" si="0"/>
        <v>0</v>
      </c>
      <c r="K44" s="228"/>
      <c r="L44" s="228"/>
      <c r="M44" s="228"/>
      <c r="N44" s="228">
        <f>11520-11520</f>
        <v>0</v>
      </c>
      <c r="O44" s="228"/>
      <c r="P44" s="121"/>
      <c r="Q44" s="121"/>
      <c r="R44" s="121"/>
      <c r="S44" s="121"/>
      <c r="T44" s="121">
        <f>115207+460830+76800+192000+153600+318700+115200+115200+614439+122888+768049+57600+309500+53700+102100+384000+384000+245700+168867+460800+575683+537600+230400+284200+86900+161300+15400+307200-753+153610+21072.32+153610</f>
        <v>7745402.3200000003</v>
      </c>
      <c r="U44" s="121"/>
      <c r="V44" s="12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row>
    <row r="45" spans="1:75" s="28" customFormat="1" ht="22.5" customHeight="1" x14ac:dyDescent="0.25">
      <c r="A45" s="271" t="s">
        <v>324</v>
      </c>
      <c r="B45" s="272"/>
      <c r="C45" s="272"/>
      <c r="D45" s="273"/>
      <c r="E45" s="109">
        <v>2111</v>
      </c>
      <c r="F45" s="109">
        <v>111</v>
      </c>
      <c r="G45" s="225">
        <v>266</v>
      </c>
      <c r="H45" s="121">
        <f t="shared" si="0"/>
        <v>0</v>
      </c>
      <c r="I45" s="121"/>
      <c r="J45" s="121"/>
      <c r="K45" s="121"/>
      <c r="L45" s="121"/>
      <c r="M45" s="121"/>
      <c r="N45" s="121"/>
      <c r="O45" s="121"/>
      <c r="P45" s="121"/>
      <c r="Q45" s="121"/>
      <c r="R45" s="121"/>
      <c r="S45" s="121"/>
      <c r="T45" s="121"/>
      <c r="U45" s="121"/>
      <c r="V45" s="12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row>
    <row r="46" spans="1:75" s="28" customFormat="1" ht="22.5" customHeight="1" x14ac:dyDescent="0.25">
      <c r="A46" s="271" t="s">
        <v>325</v>
      </c>
      <c r="B46" s="272"/>
      <c r="C46" s="272"/>
      <c r="D46" s="273"/>
      <c r="E46" s="109">
        <v>2112</v>
      </c>
      <c r="F46" s="109">
        <v>112</v>
      </c>
      <c r="G46" s="225">
        <v>212</v>
      </c>
      <c r="H46" s="121">
        <f t="shared" si="0"/>
        <v>0</v>
      </c>
      <c r="I46" s="121">
        <f t="shared" si="0"/>
        <v>0</v>
      </c>
      <c r="J46" s="121">
        <f t="shared" si="0"/>
        <v>0</v>
      </c>
      <c r="K46" s="121"/>
      <c r="L46" s="121"/>
      <c r="M46" s="121"/>
      <c r="N46" s="121"/>
      <c r="O46" s="121"/>
      <c r="P46" s="121"/>
      <c r="Q46" s="121"/>
      <c r="R46" s="121"/>
      <c r="S46" s="121"/>
      <c r="T46" s="121"/>
      <c r="U46" s="121"/>
      <c r="V46" s="12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row>
    <row r="47" spans="1:75" s="28" customFormat="1" ht="34.5" customHeight="1" x14ac:dyDescent="0.25">
      <c r="A47" s="510" t="s">
        <v>326</v>
      </c>
      <c r="B47" s="511"/>
      <c r="C47" s="511"/>
      <c r="D47" s="512"/>
      <c r="E47" s="109">
        <v>2113</v>
      </c>
      <c r="F47" s="109">
        <v>112</v>
      </c>
      <c r="G47" s="225">
        <v>214</v>
      </c>
      <c r="H47" s="121">
        <f t="shared" si="0"/>
        <v>0</v>
      </c>
      <c r="I47" s="121">
        <f t="shared" si="0"/>
        <v>0</v>
      </c>
      <c r="J47" s="121">
        <f t="shared" si="0"/>
        <v>0</v>
      </c>
      <c r="K47" s="121"/>
      <c r="L47" s="121"/>
      <c r="M47" s="121"/>
      <c r="N47" s="121"/>
      <c r="O47" s="121"/>
      <c r="P47" s="121"/>
      <c r="Q47" s="121"/>
      <c r="R47" s="121"/>
      <c r="S47" s="121"/>
      <c r="T47" s="121"/>
      <c r="U47" s="121"/>
      <c r="V47" s="12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row>
    <row r="48" spans="1:75" s="28" customFormat="1" ht="25.5" customHeight="1" x14ac:dyDescent="0.25">
      <c r="A48" s="506" t="s">
        <v>118</v>
      </c>
      <c r="B48" s="506"/>
      <c r="C48" s="506"/>
      <c r="D48" s="506"/>
      <c r="E48" s="109">
        <v>2120</v>
      </c>
      <c r="F48" s="109">
        <v>112</v>
      </c>
      <c r="G48" s="225">
        <v>226</v>
      </c>
      <c r="H48" s="121">
        <f t="shared" si="0"/>
        <v>0</v>
      </c>
      <c r="I48" s="121">
        <f t="shared" si="0"/>
        <v>0</v>
      </c>
      <c r="J48" s="121">
        <f t="shared" si="0"/>
        <v>0</v>
      </c>
      <c r="K48" s="121"/>
      <c r="L48" s="121"/>
      <c r="M48" s="121"/>
      <c r="N48" s="121"/>
      <c r="O48" s="121"/>
      <c r="P48" s="121"/>
      <c r="Q48" s="121"/>
      <c r="R48" s="121"/>
      <c r="S48" s="121"/>
      <c r="T48" s="121"/>
      <c r="U48" s="121"/>
      <c r="V48" s="12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row>
    <row r="49" spans="1:75" s="28" customFormat="1" ht="25.5" customHeight="1" x14ac:dyDescent="0.25">
      <c r="A49" s="271" t="s">
        <v>300</v>
      </c>
      <c r="B49" s="272"/>
      <c r="C49" s="272"/>
      <c r="D49" s="273"/>
      <c r="E49" s="109">
        <v>2121</v>
      </c>
      <c r="F49" s="109">
        <v>112</v>
      </c>
      <c r="G49" s="225">
        <v>266</v>
      </c>
      <c r="H49" s="121">
        <f t="shared" si="0"/>
        <v>0</v>
      </c>
      <c r="I49" s="121">
        <f t="shared" si="0"/>
        <v>0</v>
      </c>
      <c r="J49" s="121">
        <f t="shared" si="0"/>
        <v>0</v>
      </c>
      <c r="K49" s="121"/>
      <c r="L49" s="121"/>
      <c r="M49" s="121"/>
      <c r="N49" s="121"/>
      <c r="O49" s="121"/>
      <c r="P49" s="121"/>
      <c r="Q49" s="121"/>
      <c r="R49" s="121"/>
      <c r="S49" s="121"/>
      <c r="T49" s="121"/>
      <c r="U49" s="121"/>
      <c r="V49" s="12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row>
    <row r="50" spans="1:75" s="28" customFormat="1" ht="22.5" customHeight="1" x14ac:dyDescent="0.25">
      <c r="A50" s="506" t="s">
        <v>119</v>
      </c>
      <c r="B50" s="506"/>
      <c r="C50" s="506"/>
      <c r="D50" s="506"/>
      <c r="E50" s="109">
        <v>2130</v>
      </c>
      <c r="F50" s="109">
        <v>113</v>
      </c>
      <c r="G50" s="225"/>
      <c r="H50" s="121">
        <f t="shared" si="0"/>
        <v>0</v>
      </c>
      <c r="I50" s="121">
        <f t="shared" si="0"/>
        <v>0</v>
      </c>
      <c r="J50" s="121">
        <f t="shared" si="0"/>
        <v>0</v>
      </c>
      <c r="K50" s="121"/>
      <c r="L50" s="121"/>
      <c r="M50" s="121"/>
      <c r="N50" s="121"/>
      <c r="O50" s="121"/>
      <c r="P50" s="121"/>
      <c r="Q50" s="121"/>
      <c r="R50" s="121"/>
      <c r="S50" s="121"/>
      <c r="T50" s="121"/>
      <c r="U50" s="121"/>
      <c r="V50" s="12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row>
    <row r="51" spans="1:75" s="28" customFormat="1" ht="50.25" customHeight="1" x14ac:dyDescent="0.25">
      <c r="A51" s="506" t="s">
        <v>120</v>
      </c>
      <c r="B51" s="506"/>
      <c r="C51" s="506"/>
      <c r="D51" s="506"/>
      <c r="E51" s="109">
        <v>2140</v>
      </c>
      <c r="F51" s="109">
        <v>119</v>
      </c>
      <c r="G51" s="225"/>
      <c r="H51" s="121">
        <f t="shared" si="0"/>
        <v>2312717.06</v>
      </c>
      <c r="I51" s="121">
        <f t="shared" si="0"/>
        <v>0</v>
      </c>
      <c r="J51" s="121">
        <f t="shared" si="0"/>
        <v>0</v>
      </c>
      <c r="K51" s="228"/>
      <c r="L51" s="228"/>
      <c r="M51" s="228"/>
      <c r="N51" s="228">
        <f>3480-3480</f>
        <v>0</v>
      </c>
      <c r="O51" s="228"/>
      <c r="P51" s="121"/>
      <c r="Q51" s="121"/>
      <c r="R51" s="121"/>
      <c r="S51" s="121"/>
      <c r="T51" s="121">
        <f>34793+139170+23200+58000+46400+96300+34800+34800+185561+37112+231951+17400+93500+16300+30900+116000+116000+74300+51133+139200+174317+162400+69600+85800+26200+48700+4600+92800-227.62+46390-21072.32+46390</f>
        <v>2312717.06</v>
      </c>
      <c r="U51" s="121"/>
      <c r="V51" s="12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row>
    <row r="52" spans="1:75" s="28" customFormat="1" ht="22.5" customHeight="1" x14ac:dyDescent="0.25">
      <c r="A52" s="319" t="s">
        <v>121</v>
      </c>
      <c r="B52" s="319"/>
      <c r="C52" s="319"/>
      <c r="D52" s="319"/>
      <c r="E52" s="84">
        <v>2141</v>
      </c>
      <c r="F52" s="84">
        <v>119</v>
      </c>
      <c r="G52" s="200">
        <v>213</v>
      </c>
      <c r="H52" s="121">
        <f t="shared" si="0"/>
        <v>2312717.06</v>
      </c>
      <c r="I52" s="121">
        <f t="shared" si="0"/>
        <v>0</v>
      </c>
      <c r="J52" s="121">
        <f t="shared" si="0"/>
        <v>0</v>
      </c>
      <c r="K52" s="123">
        <f>K51</f>
        <v>0</v>
      </c>
      <c r="L52" s="123">
        <f>L51</f>
        <v>0</v>
      </c>
      <c r="M52" s="123">
        <f>M51</f>
        <v>0</v>
      </c>
      <c r="N52" s="123">
        <f t="shared" ref="N52:V52" si="3">N51</f>
        <v>0</v>
      </c>
      <c r="O52" s="123">
        <f t="shared" si="3"/>
        <v>0</v>
      </c>
      <c r="P52" s="123">
        <f t="shared" si="3"/>
        <v>0</v>
      </c>
      <c r="Q52" s="123">
        <f t="shared" si="3"/>
        <v>0</v>
      </c>
      <c r="R52" s="123">
        <f t="shared" si="3"/>
        <v>0</v>
      </c>
      <c r="S52" s="123">
        <f t="shared" si="3"/>
        <v>0</v>
      </c>
      <c r="T52" s="123">
        <f>T51</f>
        <v>2312717.06</v>
      </c>
      <c r="U52" s="123">
        <f t="shared" si="3"/>
        <v>0</v>
      </c>
      <c r="V52" s="123">
        <f t="shared" si="3"/>
        <v>0</v>
      </c>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row>
    <row r="53" spans="1:75" s="28" customFormat="1" ht="15.75" customHeight="1" x14ac:dyDescent="0.25">
      <c r="A53" s="319" t="s">
        <v>122</v>
      </c>
      <c r="B53" s="319"/>
      <c r="C53" s="319"/>
      <c r="D53" s="319"/>
      <c r="E53" s="84">
        <v>2142</v>
      </c>
      <c r="F53" s="84">
        <v>119</v>
      </c>
      <c r="G53" s="200"/>
      <c r="H53" s="121">
        <f t="shared" si="0"/>
        <v>0</v>
      </c>
      <c r="I53" s="121">
        <f t="shared" si="0"/>
        <v>0</v>
      </c>
      <c r="J53" s="121">
        <f t="shared" si="0"/>
        <v>0</v>
      </c>
      <c r="K53" s="121"/>
      <c r="L53" s="121"/>
      <c r="M53" s="121"/>
      <c r="N53" s="121"/>
      <c r="O53" s="121"/>
      <c r="P53" s="121"/>
      <c r="Q53" s="121"/>
      <c r="R53" s="121"/>
      <c r="S53" s="121"/>
      <c r="T53" s="121"/>
      <c r="U53" s="121"/>
      <c r="V53" s="12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row>
    <row r="54" spans="1:75" s="28" customFormat="1" ht="18.75" customHeight="1" x14ac:dyDescent="0.25">
      <c r="A54" s="319" t="s">
        <v>123</v>
      </c>
      <c r="B54" s="319"/>
      <c r="C54" s="319"/>
      <c r="D54" s="319"/>
      <c r="E54" s="84">
        <v>2200</v>
      </c>
      <c r="F54" s="84">
        <v>300</v>
      </c>
      <c r="G54" s="200"/>
      <c r="H54" s="121">
        <f t="shared" si="0"/>
        <v>0</v>
      </c>
      <c r="I54" s="121">
        <f t="shared" si="0"/>
        <v>0</v>
      </c>
      <c r="J54" s="121">
        <f t="shared" si="0"/>
        <v>0</v>
      </c>
      <c r="K54" s="121"/>
      <c r="L54" s="121"/>
      <c r="M54" s="121"/>
      <c r="N54" s="121"/>
      <c r="O54" s="121"/>
      <c r="P54" s="121"/>
      <c r="Q54" s="121"/>
      <c r="R54" s="121"/>
      <c r="S54" s="121"/>
      <c r="T54" s="121"/>
      <c r="U54" s="121"/>
      <c r="V54" s="12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row>
    <row r="55" spans="1:75" s="28" customFormat="1" ht="21.75" customHeight="1" x14ac:dyDescent="0.25">
      <c r="A55" s="319" t="s">
        <v>124</v>
      </c>
      <c r="B55" s="319"/>
      <c r="C55" s="319"/>
      <c r="D55" s="319"/>
      <c r="E55" s="84">
        <v>2210</v>
      </c>
      <c r="F55" s="84">
        <v>320</v>
      </c>
      <c r="G55" s="200"/>
      <c r="H55" s="121">
        <f t="shared" si="0"/>
        <v>0</v>
      </c>
      <c r="I55" s="121">
        <f t="shared" si="0"/>
        <v>0</v>
      </c>
      <c r="J55" s="121">
        <f t="shared" si="0"/>
        <v>0</v>
      </c>
      <c r="K55" s="121"/>
      <c r="L55" s="121"/>
      <c r="M55" s="121"/>
      <c r="N55" s="121"/>
      <c r="O55" s="121"/>
      <c r="P55" s="121"/>
      <c r="Q55" s="121"/>
      <c r="R55" s="121"/>
      <c r="S55" s="121"/>
      <c r="T55" s="121"/>
      <c r="U55" s="121"/>
      <c r="V55" s="12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row>
    <row r="56" spans="1:75" s="28" customFormat="1" ht="33.75" customHeight="1" x14ac:dyDescent="0.25">
      <c r="A56" s="319" t="s">
        <v>125</v>
      </c>
      <c r="B56" s="319"/>
      <c r="C56" s="319"/>
      <c r="D56" s="319"/>
      <c r="E56" s="84">
        <v>2211</v>
      </c>
      <c r="F56" s="84">
        <v>321</v>
      </c>
      <c r="G56" s="200">
        <v>262</v>
      </c>
      <c r="H56" s="121">
        <f t="shared" si="0"/>
        <v>240000</v>
      </c>
      <c r="I56" s="121">
        <f t="shared" si="0"/>
        <v>0</v>
      </c>
      <c r="J56" s="121">
        <f t="shared" si="0"/>
        <v>0</v>
      </c>
      <c r="K56" s="121"/>
      <c r="L56" s="121"/>
      <c r="M56" s="121"/>
      <c r="N56" s="121"/>
      <c r="O56" s="121"/>
      <c r="P56" s="121"/>
      <c r="Q56" s="121"/>
      <c r="R56" s="121"/>
      <c r="S56" s="121"/>
      <c r="T56" s="121">
        <f>90000+150000</f>
        <v>240000</v>
      </c>
      <c r="U56" s="121"/>
      <c r="V56" s="12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row>
    <row r="57" spans="1:75" s="28" customFormat="1" ht="11.1" customHeight="1" x14ac:dyDescent="0.25">
      <c r="A57" s="319"/>
      <c r="B57" s="319"/>
      <c r="C57" s="319"/>
      <c r="D57" s="319"/>
      <c r="E57" s="76"/>
      <c r="F57" s="76"/>
      <c r="G57" s="200"/>
      <c r="H57" s="121">
        <f t="shared" si="0"/>
        <v>0</v>
      </c>
      <c r="I57" s="121">
        <f t="shared" si="0"/>
        <v>0</v>
      </c>
      <c r="J57" s="121">
        <f t="shared" si="0"/>
        <v>0</v>
      </c>
      <c r="K57" s="121"/>
      <c r="L57" s="121"/>
      <c r="M57" s="121"/>
      <c r="N57" s="121"/>
      <c r="O57" s="121"/>
      <c r="P57" s="121"/>
      <c r="Q57" s="121"/>
      <c r="R57" s="121"/>
      <c r="S57" s="121"/>
      <c r="T57" s="121"/>
      <c r="U57" s="121"/>
      <c r="V57" s="12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1:75" s="28" customFormat="1" ht="54.75" customHeight="1" x14ac:dyDescent="0.25">
      <c r="A58" s="319" t="s">
        <v>126</v>
      </c>
      <c r="B58" s="319"/>
      <c r="C58" s="319"/>
      <c r="D58" s="319"/>
      <c r="E58" s="84">
        <v>2220</v>
      </c>
      <c r="F58" s="84">
        <v>340</v>
      </c>
      <c r="G58" s="200"/>
      <c r="H58" s="121">
        <f t="shared" si="0"/>
        <v>0</v>
      </c>
      <c r="I58" s="121">
        <f t="shared" si="0"/>
        <v>0</v>
      </c>
      <c r="J58" s="121">
        <f t="shared" si="0"/>
        <v>0</v>
      </c>
      <c r="K58" s="121"/>
      <c r="L58" s="121"/>
      <c r="M58" s="121"/>
      <c r="N58" s="121"/>
      <c r="O58" s="121"/>
      <c r="P58" s="121"/>
      <c r="Q58" s="121"/>
      <c r="R58" s="121"/>
      <c r="S58" s="121"/>
      <c r="T58" s="121"/>
      <c r="U58" s="121"/>
      <c r="V58" s="12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row>
    <row r="59" spans="1:75" s="28" customFormat="1" ht="66.75" customHeight="1" x14ac:dyDescent="0.25">
      <c r="A59" s="319" t="s">
        <v>127</v>
      </c>
      <c r="B59" s="319"/>
      <c r="C59" s="319"/>
      <c r="D59" s="319"/>
      <c r="E59" s="84">
        <v>2230</v>
      </c>
      <c r="F59" s="84">
        <v>350</v>
      </c>
      <c r="G59" s="200"/>
      <c r="H59" s="121">
        <f t="shared" si="0"/>
        <v>0</v>
      </c>
      <c r="I59" s="121">
        <f t="shared" si="0"/>
        <v>0</v>
      </c>
      <c r="J59" s="121">
        <f t="shared" si="0"/>
        <v>0</v>
      </c>
      <c r="K59" s="121"/>
      <c r="L59" s="121"/>
      <c r="M59" s="121"/>
      <c r="N59" s="121"/>
      <c r="O59" s="121"/>
      <c r="P59" s="121"/>
      <c r="Q59" s="121"/>
      <c r="R59" s="121"/>
      <c r="S59" s="121"/>
      <c r="T59" s="121"/>
      <c r="U59" s="121"/>
      <c r="V59" s="12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row>
    <row r="60" spans="1:75" s="28" customFormat="1" ht="26.25" customHeight="1" x14ac:dyDescent="0.25">
      <c r="A60" s="319" t="s">
        <v>406</v>
      </c>
      <c r="B60" s="319"/>
      <c r="C60" s="319"/>
      <c r="D60" s="319"/>
      <c r="E60" s="84">
        <v>2240</v>
      </c>
      <c r="F60" s="84">
        <v>360</v>
      </c>
      <c r="G60" s="200"/>
      <c r="H60" s="121">
        <f t="shared" si="0"/>
        <v>0</v>
      </c>
      <c r="I60" s="121">
        <f t="shared" si="0"/>
        <v>0</v>
      </c>
      <c r="J60" s="121">
        <f t="shared" si="0"/>
        <v>0</v>
      </c>
      <c r="K60" s="121"/>
      <c r="L60" s="121"/>
      <c r="M60" s="121"/>
      <c r="N60" s="121"/>
      <c r="O60" s="121"/>
      <c r="P60" s="121"/>
      <c r="Q60" s="121"/>
      <c r="R60" s="121"/>
      <c r="S60" s="121"/>
      <c r="T60" s="121"/>
      <c r="U60" s="121"/>
      <c r="V60" s="12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row>
    <row r="61" spans="1:75" s="28" customFormat="1" ht="19.5" customHeight="1" x14ac:dyDescent="0.25">
      <c r="A61" s="319" t="s">
        <v>129</v>
      </c>
      <c r="B61" s="319"/>
      <c r="C61" s="319"/>
      <c r="D61" s="319"/>
      <c r="E61" s="84">
        <v>2300</v>
      </c>
      <c r="F61" s="84">
        <v>850</v>
      </c>
      <c r="G61" s="200"/>
      <c r="H61" s="121">
        <f t="shared" si="0"/>
        <v>0</v>
      </c>
      <c r="I61" s="121">
        <f>L61+O61+R61+U61</f>
        <v>0</v>
      </c>
      <c r="J61" s="121">
        <f t="shared" si="0"/>
        <v>0</v>
      </c>
      <c r="K61" s="123">
        <f t="shared" ref="K61:S61" si="4">K62+K63+K66+K64+K65</f>
        <v>0</v>
      </c>
      <c r="L61" s="123">
        <f t="shared" si="4"/>
        <v>0</v>
      </c>
      <c r="M61" s="123">
        <f t="shared" si="4"/>
        <v>0</v>
      </c>
      <c r="N61" s="123">
        <f t="shared" si="4"/>
        <v>0</v>
      </c>
      <c r="O61" s="123">
        <f t="shared" si="4"/>
        <v>0</v>
      </c>
      <c r="P61" s="123">
        <f t="shared" si="4"/>
        <v>0</v>
      </c>
      <c r="Q61" s="123">
        <f t="shared" si="4"/>
        <v>0</v>
      </c>
      <c r="R61" s="123">
        <f t="shared" si="4"/>
        <v>0</v>
      </c>
      <c r="S61" s="123">
        <f t="shared" si="4"/>
        <v>0</v>
      </c>
      <c r="T61" s="123">
        <f>T62+T63+T66+T64+T65</f>
        <v>0</v>
      </c>
      <c r="U61" s="123">
        <f>U62+U63+U66+U64+U65</f>
        <v>0</v>
      </c>
      <c r="V61" s="123">
        <f>V62+V63+V66+V64+V65</f>
        <v>0</v>
      </c>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row>
    <row r="62" spans="1:75" s="28" customFormat="1" ht="32.25" customHeight="1" x14ac:dyDescent="0.25">
      <c r="A62" s="319" t="s">
        <v>130</v>
      </c>
      <c r="B62" s="319"/>
      <c r="C62" s="319"/>
      <c r="D62" s="319"/>
      <c r="E62" s="84">
        <v>2310</v>
      </c>
      <c r="F62" s="84">
        <v>851</v>
      </c>
      <c r="G62" s="200">
        <v>291</v>
      </c>
      <c r="H62" s="121">
        <f t="shared" si="0"/>
        <v>0</v>
      </c>
      <c r="I62" s="121">
        <f t="shared" si="0"/>
        <v>0</v>
      </c>
      <c r="J62" s="121">
        <f t="shared" si="0"/>
        <v>0</v>
      </c>
      <c r="K62" s="121"/>
      <c r="L62" s="121"/>
      <c r="M62" s="121"/>
      <c r="N62" s="121"/>
      <c r="O62" s="121"/>
      <c r="P62" s="121"/>
      <c r="Q62" s="121"/>
      <c r="R62" s="121"/>
      <c r="S62" s="121"/>
      <c r="T62" s="121"/>
      <c r="U62" s="121"/>
      <c r="V62" s="12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row>
    <row r="63" spans="1:75" s="28" customFormat="1" ht="42" customHeight="1" x14ac:dyDescent="0.25">
      <c r="A63" s="319" t="s">
        <v>131</v>
      </c>
      <c r="B63" s="319"/>
      <c r="C63" s="319"/>
      <c r="D63" s="319"/>
      <c r="E63" s="84">
        <v>2320</v>
      </c>
      <c r="F63" s="84">
        <v>852</v>
      </c>
      <c r="G63" s="200">
        <v>291</v>
      </c>
      <c r="H63" s="121">
        <f t="shared" si="0"/>
        <v>0</v>
      </c>
      <c r="I63" s="121">
        <f t="shared" si="0"/>
        <v>0</v>
      </c>
      <c r="J63" s="121">
        <f t="shared" si="0"/>
        <v>0</v>
      </c>
      <c r="K63" s="121"/>
      <c r="L63" s="121"/>
      <c r="M63" s="121"/>
      <c r="N63" s="121"/>
      <c r="O63" s="121"/>
      <c r="P63" s="121"/>
      <c r="Q63" s="121"/>
      <c r="R63" s="121"/>
      <c r="S63" s="121"/>
      <c r="T63" s="121"/>
      <c r="U63" s="121"/>
      <c r="V63" s="12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75" s="28" customFormat="1" ht="42" customHeight="1" x14ac:dyDescent="0.25">
      <c r="A64" s="326" t="s">
        <v>132</v>
      </c>
      <c r="B64" s="327"/>
      <c r="C64" s="327"/>
      <c r="D64" s="328"/>
      <c r="E64" s="84"/>
      <c r="F64" s="84">
        <v>853</v>
      </c>
      <c r="G64" s="200">
        <v>292</v>
      </c>
      <c r="H64" s="121">
        <f t="shared" si="0"/>
        <v>0</v>
      </c>
      <c r="I64" s="121">
        <f t="shared" si="0"/>
        <v>0</v>
      </c>
      <c r="J64" s="121">
        <f t="shared" si="0"/>
        <v>0</v>
      </c>
      <c r="K64" s="121"/>
      <c r="L64" s="121"/>
      <c r="M64" s="121"/>
      <c r="N64" s="121"/>
      <c r="O64" s="121"/>
      <c r="P64" s="121"/>
      <c r="Q64" s="121"/>
      <c r="R64" s="121"/>
      <c r="S64" s="121"/>
      <c r="T64" s="121"/>
      <c r="U64" s="121"/>
      <c r="V64" s="12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row>
    <row r="65" spans="1:75" s="28" customFormat="1" ht="42" customHeight="1" x14ac:dyDescent="0.25">
      <c r="A65" s="326" t="s">
        <v>308</v>
      </c>
      <c r="B65" s="327"/>
      <c r="C65" s="327"/>
      <c r="D65" s="328"/>
      <c r="E65" s="84"/>
      <c r="F65" s="84">
        <v>853</v>
      </c>
      <c r="G65" s="200">
        <v>293</v>
      </c>
      <c r="H65" s="121">
        <f t="shared" si="0"/>
        <v>0</v>
      </c>
      <c r="I65" s="121">
        <f t="shared" si="0"/>
        <v>0</v>
      </c>
      <c r="J65" s="121">
        <f t="shared" si="0"/>
        <v>0</v>
      </c>
      <c r="K65" s="121"/>
      <c r="L65" s="121"/>
      <c r="M65" s="121"/>
      <c r="N65" s="121"/>
      <c r="O65" s="121"/>
      <c r="P65" s="121"/>
      <c r="Q65" s="121"/>
      <c r="R65" s="121"/>
      <c r="S65" s="121"/>
      <c r="T65" s="121"/>
      <c r="U65" s="121"/>
      <c r="V65" s="12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row>
    <row r="66" spans="1:75" s="28" customFormat="1" ht="31.5" customHeight="1" x14ac:dyDescent="0.25">
      <c r="A66" s="319" t="s">
        <v>132</v>
      </c>
      <c r="B66" s="319"/>
      <c r="C66" s="319"/>
      <c r="D66" s="319"/>
      <c r="E66" s="84">
        <v>2330</v>
      </c>
      <c r="F66" s="84">
        <v>853</v>
      </c>
      <c r="G66" s="200">
        <v>295</v>
      </c>
      <c r="H66" s="121">
        <f t="shared" si="0"/>
        <v>0</v>
      </c>
      <c r="I66" s="121">
        <f t="shared" si="0"/>
        <v>0</v>
      </c>
      <c r="J66" s="121">
        <f t="shared" si="0"/>
        <v>0</v>
      </c>
      <c r="K66" s="121"/>
      <c r="L66" s="121"/>
      <c r="M66" s="121"/>
      <c r="N66" s="121"/>
      <c r="O66" s="121"/>
      <c r="P66" s="121"/>
      <c r="Q66" s="121"/>
      <c r="R66" s="121"/>
      <c r="S66" s="121"/>
      <c r="T66" s="121"/>
      <c r="U66" s="121"/>
      <c r="V66" s="12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28" customFormat="1" ht="34.5" customHeight="1" x14ac:dyDescent="0.25">
      <c r="A67" s="319" t="s">
        <v>133</v>
      </c>
      <c r="B67" s="319"/>
      <c r="C67" s="319"/>
      <c r="D67" s="319"/>
      <c r="E67" s="84">
        <v>2400</v>
      </c>
      <c r="F67" s="84" t="s">
        <v>9</v>
      </c>
      <c r="G67" s="200"/>
      <c r="H67" s="121">
        <f t="shared" si="0"/>
        <v>0</v>
      </c>
      <c r="I67" s="121">
        <f t="shared" si="0"/>
        <v>0</v>
      </c>
      <c r="J67" s="121">
        <f t="shared" si="0"/>
        <v>0</v>
      </c>
      <c r="K67" s="121"/>
      <c r="L67" s="121"/>
      <c r="M67" s="121"/>
      <c r="N67" s="121"/>
      <c r="O67" s="121"/>
      <c r="P67" s="121"/>
      <c r="Q67" s="121"/>
      <c r="R67" s="121"/>
      <c r="S67" s="121"/>
      <c r="T67" s="121"/>
      <c r="U67" s="121"/>
      <c r="V67" s="12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28" customFormat="1" ht="42.75" customHeight="1" x14ac:dyDescent="0.25">
      <c r="A68" s="319" t="s">
        <v>407</v>
      </c>
      <c r="B68" s="319"/>
      <c r="C68" s="319"/>
      <c r="D68" s="319"/>
      <c r="E68" s="84">
        <v>2410</v>
      </c>
      <c r="F68" s="84">
        <v>613</v>
      </c>
      <c r="G68" s="200"/>
      <c r="H68" s="121">
        <f t="shared" si="0"/>
        <v>0</v>
      </c>
      <c r="I68" s="121">
        <f t="shared" si="0"/>
        <v>0</v>
      </c>
      <c r="J68" s="121">
        <f t="shared" si="0"/>
        <v>0</v>
      </c>
      <c r="K68" s="121"/>
      <c r="L68" s="121"/>
      <c r="M68" s="121"/>
      <c r="N68" s="121"/>
      <c r="O68" s="121"/>
      <c r="P68" s="121"/>
      <c r="Q68" s="121"/>
      <c r="R68" s="121"/>
      <c r="S68" s="121"/>
      <c r="T68" s="121"/>
      <c r="U68" s="121"/>
      <c r="V68" s="12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28" customFormat="1" ht="19.5" customHeight="1" x14ac:dyDescent="0.25">
      <c r="A69" s="319" t="s">
        <v>408</v>
      </c>
      <c r="B69" s="319"/>
      <c r="C69" s="319"/>
      <c r="D69" s="319"/>
      <c r="E69" s="84">
        <v>2420</v>
      </c>
      <c r="F69" s="84">
        <v>623</v>
      </c>
      <c r="G69" s="200"/>
      <c r="H69" s="121">
        <f t="shared" si="0"/>
        <v>0</v>
      </c>
      <c r="I69" s="121">
        <f t="shared" si="0"/>
        <v>0</v>
      </c>
      <c r="J69" s="121">
        <f t="shared" si="0"/>
        <v>0</v>
      </c>
      <c r="K69" s="121"/>
      <c r="L69" s="121"/>
      <c r="M69" s="121"/>
      <c r="N69" s="121"/>
      <c r="O69" s="121"/>
      <c r="P69" s="121"/>
      <c r="Q69" s="121"/>
      <c r="R69" s="121"/>
      <c r="S69" s="121"/>
      <c r="T69" s="121"/>
      <c r="U69" s="121"/>
      <c r="V69" s="12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28" customFormat="1" ht="41.25" customHeight="1" x14ac:dyDescent="0.25">
      <c r="A70" s="319" t="s">
        <v>403</v>
      </c>
      <c r="B70" s="319"/>
      <c r="C70" s="319"/>
      <c r="D70" s="319"/>
      <c r="E70" s="84">
        <v>2430</v>
      </c>
      <c r="F70" s="84">
        <v>634</v>
      </c>
      <c r="G70" s="200"/>
      <c r="H70" s="121">
        <f t="shared" si="0"/>
        <v>0</v>
      </c>
      <c r="I70" s="121">
        <f t="shared" si="0"/>
        <v>0</v>
      </c>
      <c r="J70" s="121">
        <f t="shared" si="0"/>
        <v>0</v>
      </c>
      <c r="K70" s="121"/>
      <c r="L70" s="121"/>
      <c r="M70" s="121"/>
      <c r="N70" s="121"/>
      <c r="O70" s="121"/>
      <c r="P70" s="121"/>
      <c r="Q70" s="121"/>
      <c r="R70" s="121"/>
      <c r="S70" s="121"/>
      <c r="T70" s="121"/>
      <c r="U70" s="121"/>
      <c r="V70" s="12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28" customFormat="1" ht="28.5" customHeight="1" x14ac:dyDescent="0.25">
      <c r="A71" s="507" t="s">
        <v>404</v>
      </c>
      <c r="B71" s="508"/>
      <c r="C71" s="508"/>
      <c r="D71" s="509"/>
      <c r="E71" s="84">
        <v>2440</v>
      </c>
      <c r="F71" s="84">
        <v>810</v>
      </c>
      <c r="G71" s="200"/>
      <c r="H71" s="121"/>
      <c r="I71" s="121"/>
      <c r="J71" s="121"/>
      <c r="K71" s="121"/>
      <c r="L71" s="121"/>
      <c r="M71" s="121"/>
      <c r="N71" s="121"/>
      <c r="O71" s="121"/>
      <c r="P71" s="121"/>
      <c r="Q71" s="121"/>
      <c r="R71" s="121"/>
      <c r="S71" s="121"/>
      <c r="T71" s="121"/>
      <c r="U71" s="121"/>
      <c r="V71" s="12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28" customFormat="1" ht="28.5" customHeight="1" x14ac:dyDescent="0.25">
      <c r="A72" s="507" t="s">
        <v>135</v>
      </c>
      <c r="B72" s="508"/>
      <c r="C72" s="508"/>
      <c r="D72" s="509"/>
      <c r="E72" s="84">
        <v>2450</v>
      </c>
      <c r="F72" s="84">
        <v>862</v>
      </c>
      <c r="G72" s="200"/>
      <c r="H72" s="121"/>
      <c r="I72" s="121"/>
      <c r="J72" s="121"/>
      <c r="K72" s="121"/>
      <c r="L72" s="121"/>
      <c r="M72" s="121"/>
      <c r="N72" s="121"/>
      <c r="O72" s="121"/>
      <c r="P72" s="121"/>
      <c r="Q72" s="121"/>
      <c r="R72" s="121"/>
      <c r="S72" s="121"/>
      <c r="T72" s="121"/>
      <c r="U72" s="121"/>
      <c r="V72" s="12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28" customFormat="1" ht="35.25" customHeight="1" x14ac:dyDescent="0.25">
      <c r="A73" s="507" t="s">
        <v>405</v>
      </c>
      <c r="B73" s="508"/>
      <c r="C73" s="508"/>
      <c r="D73" s="509"/>
      <c r="E73" s="84">
        <v>2460</v>
      </c>
      <c r="F73" s="84">
        <v>863</v>
      </c>
      <c r="G73" s="200"/>
      <c r="H73" s="121"/>
      <c r="I73" s="121"/>
      <c r="J73" s="121"/>
      <c r="K73" s="121"/>
      <c r="L73" s="121"/>
      <c r="M73" s="121"/>
      <c r="N73" s="121"/>
      <c r="O73" s="121"/>
      <c r="P73" s="121"/>
      <c r="Q73" s="121"/>
      <c r="R73" s="121"/>
      <c r="S73" s="121"/>
      <c r="T73" s="121"/>
      <c r="U73" s="121"/>
      <c r="V73" s="12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28" customFormat="1" ht="30.75" customHeight="1" x14ac:dyDescent="0.25">
      <c r="A74" s="319" t="s">
        <v>137</v>
      </c>
      <c r="B74" s="319"/>
      <c r="C74" s="319"/>
      <c r="D74" s="319"/>
      <c r="E74" s="84">
        <v>2500</v>
      </c>
      <c r="F74" s="84" t="s">
        <v>9</v>
      </c>
      <c r="G74" s="200"/>
      <c r="H74" s="121">
        <f t="shared" si="0"/>
        <v>0</v>
      </c>
      <c r="I74" s="121">
        <f t="shared" si="0"/>
        <v>0</v>
      </c>
      <c r="J74" s="121">
        <f t="shared" si="0"/>
        <v>0</v>
      </c>
      <c r="K74" s="121"/>
      <c r="L74" s="121"/>
      <c r="M74" s="121"/>
      <c r="N74" s="121"/>
      <c r="O74" s="121"/>
      <c r="P74" s="121"/>
      <c r="Q74" s="121"/>
      <c r="R74" s="121"/>
      <c r="S74" s="121"/>
      <c r="T74" s="121"/>
      <c r="U74" s="121"/>
      <c r="V74" s="12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28" customFormat="1" ht="53.25" customHeight="1" x14ac:dyDescent="0.25">
      <c r="A75" s="319" t="s">
        <v>138</v>
      </c>
      <c r="B75" s="319"/>
      <c r="C75" s="319"/>
      <c r="D75" s="319"/>
      <c r="E75" s="84">
        <v>2520</v>
      </c>
      <c r="F75" s="84">
        <v>831</v>
      </c>
      <c r="G75" s="200"/>
      <c r="H75" s="121">
        <f t="shared" si="0"/>
        <v>0</v>
      </c>
      <c r="I75" s="121">
        <f t="shared" si="0"/>
        <v>0</v>
      </c>
      <c r="J75" s="121">
        <f t="shared" si="0"/>
        <v>0</v>
      </c>
      <c r="K75" s="121"/>
      <c r="L75" s="121"/>
      <c r="M75" s="121"/>
      <c r="N75" s="121"/>
      <c r="O75" s="121"/>
      <c r="P75" s="121"/>
      <c r="Q75" s="121"/>
      <c r="R75" s="121"/>
      <c r="S75" s="121"/>
      <c r="T75" s="121"/>
      <c r="U75" s="121"/>
      <c r="V75" s="12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28" customFormat="1" ht="36" customHeight="1" x14ac:dyDescent="0.25">
      <c r="A76" s="472" t="s">
        <v>374</v>
      </c>
      <c r="B76" s="472"/>
      <c r="C76" s="472"/>
      <c r="D76" s="472"/>
      <c r="E76" s="85">
        <v>2600</v>
      </c>
      <c r="F76" s="85" t="s">
        <v>9</v>
      </c>
      <c r="G76" s="217"/>
      <c r="H76" s="123">
        <f t="shared" si="0"/>
        <v>12855800</v>
      </c>
      <c r="I76" s="123">
        <f t="shared" si="0"/>
        <v>14800000</v>
      </c>
      <c r="J76" s="123">
        <f t="shared" si="0"/>
        <v>0</v>
      </c>
      <c r="K76" s="123">
        <f>K79+K80</f>
        <v>10130000</v>
      </c>
      <c r="L76" s="123">
        <f t="shared" ref="L76:V76" si="5">L79+L80</f>
        <v>11000000</v>
      </c>
      <c r="M76" s="123">
        <f t="shared" si="5"/>
        <v>0</v>
      </c>
      <c r="N76" s="123">
        <f>N79+N80</f>
        <v>2475800</v>
      </c>
      <c r="O76" s="123">
        <f t="shared" si="5"/>
        <v>3800000</v>
      </c>
      <c r="P76" s="123">
        <f t="shared" si="5"/>
        <v>0</v>
      </c>
      <c r="Q76" s="123">
        <f t="shared" si="5"/>
        <v>250000</v>
      </c>
      <c r="R76" s="123">
        <f t="shared" si="5"/>
        <v>0</v>
      </c>
      <c r="S76" s="123">
        <f t="shared" si="5"/>
        <v>0</v>
      </c>
      <c r="T76" s="123">
        <f t="shared" si="5"/>
        <v>0</v>
      </c>
      <c r="U76" s="123">
        <f t="shared" si="5"/>
        <v>0</v>
      </c>
      <c r="V76" s="123">
        <f t="shared" si="5"/>
        <v>0</v>
      </c>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28" customFormat="1" ht="21.75" customHeight="1" x14ac:dyDescent="0.25">
      <c r="A77" s="319" t="s">
        <v>140</v>
      </c>
      <c r="B77" s="319"/>
      <c r="C77" s="319"/>
      <c r="D77" s="319"/>
      <c r="E77" s="84">
        <v>2610</v>
      </c>
      <c r="F77" s="84">
        <v>241</v>
      </c>
      <c r="G77" s="200"/>
      <c r="H77" s="121">
        <f t="shared" si="0"/>
        <v>0</v>
      </c>
      <c r="I77" s="121">
        <f t="shared" si="0"/>
        <v>0</v>
      </c>
      <c r="J77" s="121">
        <f t="shared" si="0"/>
        <v>0</v>
      </c>
      <c r="K77" s="121"/>
      <c r="L77" s="121"/>
      <c r="M77" s="121"/>
      <c r="N77" s="121"/>
      <c r="O77" s="121"/>
      <c r="P77" s="121"/>
      <c r="Q77" s="121"/>
      <c r="R77" s="121"/>
      <c r="S77" s="121"/>
      <c r="T77" s="121"/>
      <c r="U77" s="121"/>
      <c r="V77" s="12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28" customFormat="1" ht="35.25" customHeight="1" x14ac:dyDescent="0.25">
      <c r="A78" s="326" t="s">
        <v>141</v>
      </c>
      <c r="B78" s="327"/>
      <c r="C78" s="327"/>
      <c r="D78" s="328"/>
      <c r="E78" s="84">
        <v>2620</v>
      </c>
      <c r="F78" s="84">
        <v>242</v>
      </c>
      <c r="G78" s="200"/>
      <c r="H78" s="121">
        <f t="shared" si="0"/>
        <v>0</v>
      </c>
      <c r="I78" s="121">
        <f t="shared" si="0"/>
        <v>0</v>
      </c>
      <c r="J78" s="121">
        <f t="shared" si="0"/>
        <v>0</v>
      </c>
      <c r="K78" s="121"/>
      <c r="L78" s="121"/>
      <c r="M78" s="121"/>
      <c r="N78" s="121"/>
      <c r="O78" s="121"/>
      <c r="P78" s="121"/>
      <c r="Q78" s="121"/>
      <c r="R78" s="121"/>
      <c r="S78" s="121"/>
      <c r="T78" s="121"/>
      <c r="U78" s="121"/>
      <c r="V78" s="12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28" customFormat="1" ht="42.75" customHeight="1" x14ac:dyDescent="0.25">
      <c r="A79" s="319" t="s">
        <v>263</v>
      </c>
      <c r="B79" s="319"/>
      <c r="C79" s="319"/>
      <c r="D79" s="319"/>
      <c r="E79" s="84">
        <v>2630</v>
      </c>
      <c r="F79" s="84">
        <v>243</v>
      </c>
      <c r="G79" s="200" t="s">
        <v>382</v>
      </c>
      <c r="H79" s="121">
        <f t="shared" si="0"/>
        <v>0</v>
      </c>
      <c r="I79" s="121">
        <f t="shared" si="0"/>
        <v>8800000</v>
      </c>
      <c r="J79" s="121">
        <f t="shared" si="0"/>
        <v>0</v>
      </c>
      <c r="K79" s="228">
        <f>2000000+4000000-6000000</f>
        <v>0</v>
      </c>
      <c r="L79" s="228">
        <v>5000000</v>
      </c>
      <c r="M79" s="228"/>
      <c r="N79" s="228">
        <f>4000000-4000000</f>
        <v>0</v>
      </c>
      <c r="O79" s="228">
        <v>3800000</v>
      </c>
      <c r="P79" s="121"/>
      <c r="Q79" s="121"/>
      <c r="R79" s="121"/>
      <c r="S79" s="121"/>
      <c r="T79" s="121"/>
      <c r="U79" s="121"/>
      <c r="V79" s="12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28" customFormat="1" ht="19.5" customHeight="1" x14ac:dyDescent="0.25">
      <c r="A80" s="319" t="s">
        <v>142</v>
      </c>
      <c r="B80" s="319"/>
      <c r="C80" s="319"/>
      <c r="D80" s="319"/>
      <c r="E80" s="84">
        <v>2640</v>
      </c>
      <c r="F80" s="84">
        <v>244</v>
      </c>
      <c r="G80" s="200"/>
      <c r="H80" s="123">
        <f>K80+N80+Q80+T80</f>
        <v>12855800</v>
      </c>
      <c r="I80" s="123">
        <f t="shared" si="0"/>
        <v>6000000</v>
      </c>
      <c r="J80" s="123">
        <f t="shared" si="0"/>
        <v>0</v>
      </c>
      <c r="K80" s="123">
        <f>K82+K83+K84+K85+K86+K87+K88+K89+K90+K91+K92+K93+K94</f>
        <v>10130000</v>
      </c>
      <c r="L80" s="123">
        <f t="shared" ref="L80:V80" si="6">L82+L83+L84+L85+L86+L87+L88+L89+L90+L91+L92+L93+L94</f>
        <v>6000000</v>
      </c>
      <c r="M80" s="123">
        <f t="shared" si="6"/>
        <v>0</v>
      </c>
      <c r="N80" s="123">
        <f t="shared" si="6"/>
        <v>2475800</v>
      </c>
      <c r="O80" s="123">
        <f t="shared" si="6"/>
        <v>0</v>
      </c>
      <c r="P80" s="123">
        <f t="shared" si="6"/>
        <v>0</v>
      </c>
      <c r="Q80" s="123">
        <f t="shared" si="6"/>
        <v>250000</v>
      </c>
      <c r="R80" s="123">
        <f t="shared" si="6"/>
        <v>0</v>
      </c>
      <c r="S80" s="123">
        <f t="shared" si="6"/>
        <v>0</v>
      </c>
      <c r="T80" s="123">
        <f t="shared" si="6"/>
        <v>0</v>
      </c>
      <c r="U80" s="123">
        <f t="shared" si="6"/>
        <v>0</v>
      </c>
      <c r="V80" s="123">
        <f t="shared" si="6"/>
        <v>0</v>
      </c>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28" customFormat="1" ht="19.5" customHeight="1" x14ac:dyDescent="0.25">
      <c r="A81" s="319" t="s">
        <v>37</v>
      </c>
      <c r="B81" s="319"/>
      <c r="C81" s="319"/>
      <c r="D81" s="319"/>
      <c r="E81" s="84"/>
      <c r="F81" s="84"/>
      <c r="G81" s="200"/>
      <c r="H81" s="121">
        <f t="shared" si="0"/>
        <v>0</v>
      </c>
      <c r="I81" s="121">
        <f t="shared" si="0"/>
        <v>0</v>
      </c>
      <c r="J81" s="121">
        <f t="shared" si="0"/>
        <v>0</v>
      </c>
      <c r="K81" s="121"/>
      <c r="L81" s="121"/>
      <c r="M81" s="121"/>
      <c r="N81" s="121"/>
      <c r="O81" s="121"/>
      <c r="P81" s="121"/>
      <c r="Q81" s="121"/>
      <c r="R81" s="121"/>
      <c r="S81" s="121"/>
      <c r="T81" s="121"/>
      <c r="U81" s="121"/>
      <c r="V81" s="12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28" customFormat="1" ht="19.5" customHeight="1" x14ac:dyDescent="0.25">
      <c r="A82" s="271" t="s">
        <v>310</v>
      </c>
      <c r="B82" s="272"/>
      <c r="C82" s="272"/>
      <c r="D82" s="273"/>
      <c r="E82" s="109">
        <v>2641</v>
      </c>
      <c r="F82" s="109">
        <v>244</v>
      </c>
      <c r="G82" s="225">
        <v>221</v>
      </c>
      <c r="H82" s="121">
        <f t="shared" si="0"/>
        <v>0</v>
      </c>
      <c r="I82" s="121">
        <f t="shared" si="0"/>
        <v>0</v>
      </c>
      <c r="J82" s="121">
        <f t="shared" si="0"/>
        <v>0</v>
      </c>
      <c r="K82" s="121"/>
      <c r="L82" s="121"/>
      <c r="M82" s="121"/>
      <c r="N82" s="121"/>
      <c r="O82" s="121"/>
      <c r="P82" s="121"/>
      <c r="Q82" s="121"/>
      <c r="R82" s="121"/>
      <c r="S82" s="121"/>
      <c r="T82" s="121"/>
      <c r="U82" s="121"/>
      <c r="V82" s="12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28" customFormat="1" ht="19.5" customHeight="1" x14ac:dyDescent="0.25">
      <c r="A83" s="271" t="s">
        <v>311</v>
      </c>
      <c r="B83" s="272"/>
      <c r="C83" s="272"/>
      <c r="D83" s="273"/>
      <c r="E83" s="109">
        <v>2642</v>
      </c>
      <c r="F83" s="109">
        <v>244</v>
      </c>
      <c r="G83" s="225">
        <v>222</v>
      </c>
      <c r="H83" s="121">
        <f t="shared" si="0"/>
        <v>0</v>
      </c>
      <c r="I83" s="121">
        <f t="shared" si="0"/>
        <v>0</v>
      </c>
      <c r="J83" s="121">
        <f t="shared" si="0"/>
        <v>0</v>
      </c>
      <c r="K83" s="121"/>
      <c r="L83" s="121"/>
      <c r="M83" s="121"/>
      <c r="N83" s="121"/>
      <c r="O83" s="121"/>
      <c r="P83" s="121"/>
      <c r="Q83" s="121"/>
      <c r="R83" s="121"/>
      <c r="S83" s="121"/>
      <c r="T83" s="121"/>
      <c r="U83" s="121"/>
      <c r="V83" s="12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28" customFormat="1" ht="19.5" customHeight="1" x14ac:dyDescent="0.25">
      <c r="A84" s="271" t="s">
        <v>301</v>
      </c>
      <c r="B84" s="272"/>
      <c r="C84" s="272"/>
      <c r="D84" s="273"/>
      <c r="E84" s="109">
        <v>2643</v>
      </c>
      <c r="F84" s="109">
        <v>244</v>
      </c>
      <c r="G84" s="225" t="s">
        <v>297</v>
      </c>
      <c r="H84" s="121">
        <f t="shared" si="0"/>
        <v>0</v>
      </c>
      <c r="I84" s="121">
        <f t="shared" si="0"/>
        <v>0</v>
      </c>
      <c r="J84" s="121">
        <f t="shared" si="0"/>
        <v>0</v>
      </c>
      <c r="K84" s="121"/>
      <c r="L84" s="121"/>
      <c r="M84" s="121"/>
      <c r="N84" s="121"/>
      <c r="O84" s="121"/>
      <c r="P84" s="121"/>
      <c r="Q84" s="121"/>
      <c r="R84" s="121"/>
      <c r="S84" s="121"/>
      <c r="T84" s="121"/>
      <c r="U84" s="121"/>
      <c r="V84" s="12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28" customFormat="1" ht="19.5" customHeight="1" x14ac:dyDescent="0.25">
      <c r="A85" s="271" t="s">
        <v>313</v>
      </c>
      <c r="B85" s="272"/>
      <c r="C85" s="272"/>
      <c r="D85" s="273"/>
      <c r="E85" s="109">
        <v>2644</v>
      </c>
      <c r="F85" s="109">
        <v>244</v>
      </c>
      <c r="G85" s="225" t="s">
        <v>298</v>
      </c>
      <c r="H85" s="121">
        <f t="shared" si="0"/>
        <v>0</v>
      </c>
      <c r="I85" s="121">
        <f t="shared" si="0"/>
        <v>0</v>
      </c>
      <c r="J85" s="121">
        <f t="shared" si="0"/>
        <v>0</v>
      </c>
      <c r="K85" s="121"/>
      <c r="L85" s="121"/>
      <c r="M85" s="121"/>
      <c r="N85" s="121"/>
      <c r="O85" s="121"/>
      <c r="P85" s="121"/>
      <c r="Q85" s="121"/>
      <c r="R85" s="121"/>
      <c r="S85" s="121"/>
      <c r="T85" s="121"/>
      <c r="U85" s="121"/>
      <c r="V85" s="12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28" customFormat="1" ht="19.5" customHeight="1" x14ac:dyDescent="0.25">
      <c r="A86" s="271" t="s">
        <v>314</v>
      </c>
      <c r="B86" s="272"/>
      <c r="C86" s="272"/>
      <c r="D86" s="273"/>
      <c r="E86" s="109">
        <v>2645</v>
      </c>
      <c r="F86" s="109">
        <v>244</v>
      </c>
      <c r="G86" s="225" t="s">
        <v>299</v>
      </c>
      <c r="H86" s="121">
        <f t="shared" si="0"/>
        <v>0</v>
      </c>
      <c r="I86" s="121">
        <f t="shared" si="0"/>
        <v>0</v>
      </c>
      <c r="J86" s="121">
        <f t="shared" si="0"/>
        <v>0</v>
      </c>
      <c r="K86" s="121"/>
      <c r="L86" s="121"/>
      <c r="M86" s="121"/>
      <c r="N86" s="121"/>
      <c r="O86" s="121"/>
      <c r="P86" s="121"/>
      <c r="Q86" s="121"/>
      <c r="R86" s="121"/>
      <c r="S86" s="121"/>
      <c r="T86" s="121"/>
      <c r="U86" s="121"/>
      <c r="V86" s="12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28" customFormat="1" ht="19.5" customHeight="1" x14ac:dyDescent="0.25">
      <c r="A87" s="271" t="s">
        <v>315</v>
      </c>
      <c r="B87" s="272"/>
      <c r="C87" s="272"/>
      <c r="D87" s="273"/>
      <c r="E87" s="109">
        <v>2646</v>
      </c>
      <c r="F87" s="109">
        <v>244</v>
      </c>
      <c r="G87" s="225">
        <v>225</v>
      </c>
      <c r="H87" s="121">
        <f t="shared" si="0"/>
        <v>0</v>
      </c>
      <c r="I87" s="121">
        <f t="shared" si="0"/>
        <v>0</v>
      </c>
      <c r="J87" s="121">
        <f t="shared" si="0"/>
        <v>0</v>
      </c>
      <c r="K87" s="121">
        <f>128092.82-128092.82</f>
        <v>0</v>
      </c>
      <c r="L87" s="121"/>
      <c r="M87" s="121"/>
      <c r="N87" s="121">
        <f>81975.75-81975.75</f>
        <v>0</v>
      </c>
      <c r="O87" s="121"/>
      <c r="P87" s="121"/>
      <c r="Q87" s="121"/>
      <c r="R87" s="121"/>
      <c r="S87" s="121"/>
      <c r="T87" s="121"/>
      <c r="U87" s="121"/>
      <c r="V87" s="12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28" customFormat="1" ht="19.5" customHeight="1" x14ac:dyDescent="0.25">
      <c r="A88" s="271" t="s">
        <v>300</v>
      </c>
      <c r="B88" s="272"/>
      <c r="C88" s="272"/>
      <c r="D88" s="273"/>
      <c r="E88" s="109">
        <v>2647</v>
      </c>
      <c r="F88" s="109">
        <v>244</v>
      </c>
      <c r="G88" s="225">
        <v>226</v>
      </c>
      <c r="H88" s="121">
        <f t="shared" si="0"/>
        <v>0</v>
      </c>
      <c r="I88" s="121">
        <f t="shared" si="0"/>
        <v>0</v>
      </c>
      <c r="J88" s="121">
        <f t="shared" si="0"/>
        <v>0</v>
      </c>
      <c r="K88" s="228">
        <f>497305.75-497305.75</f>
        <v>0</v>
      </c>
      <c r="L88" s="228"/>
      <c r="M88" s="228"/>
      <c r="N88" s="228">
        <f>1450211.18-1450211.18</f>
        <v>0</v>
      </c>
      <c r="O88" s="121"/>
      <c r="P88" s="121"/>
      <c r="Q88" s="121"/>
      <c r="R88" s="121"/>
      <c r="S88" s="121"/>
      <c r="T88" s="121"/>
      <c r="U88" s="121"/>
      <c r="V88" s="12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28" customFormat="1" ht="19.5" customHeight="1" x14ac:dyDescent="0.25">
      <c r="A89" s="271" t="s">
        <v>302</v>
      </c>
      <c r="B89" s="272"/>
      <c r="C89" s="272"/>
      <c r="D89" s="273"/>
      <c r="E89" s="109">
        <v>2648</v>
      </c>
      <c r="F89" s="109">
        <v>244</v>
      </c>
      <c r="G89" s="225">
        <v>227</v>
      </c>
      <c r="H89" s="121">
        <f t="shared" si="0"/>
        <v>0</v>
      </c>
      <c r="I89" s="121">
        <f t="shared" si="0"/>
        <v>0</v>
      </c>
      <c r="J89" s="121">
        <f t="shared" si="0"/>
        <v>0</v>
      </c>
      <c r="K89" s="121"/>
      <c r="L89" s="121"/>
      <c r="M89" s="121"/>
      <c r="N89" s="121"/>
      <c r="O89" s="121"/>
      <c r="P89" s="121"/>
      <c r="Q89" s="121"/>
      <c r="R89" s="121"/>
      <c r="S89" s="121"/>
      <c r="T89" s="121"/>
      <c r="U89" s="121"/>
      <c r="V89" s="12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28" customFormat="1" ht="19.5" customHeight="1" x14ac:dyDescent="0.25">
      <c r="A90" s="271" t="s">
        <v>305</v>
      </c>
      <c r="B90" s="272"/>
      <c r="C90" s="272"/>
      <c r="D90" s="273"/>
      <c r="E90" s="109">
        <v>2649</v>
      </c>
      <c r="F90" s="109">
        <v>244</v>
      </c>
      <c r="G90" s="225">
        <v>310</v>
      </c>
      <c r="H90" s="121">
        <f t="shared" si="0"/>
        <v>11980000</v>
      </c>
      <c r="I90" s="121">
        <f t="shared" si="0"/>
        <v>6000000</v>
      </c>
      <c r="J90" s="121">
        <f t="shared" si="0"/>
        <v>0</v>
      </c>
      <c r="K90" s="228">
        <f>10130000-3050000+3050000+1600000-1600000</f>
        <v>10130000</v>
      </c>
      <c r="L90" s="228">
        <v>6000000</v>
      </c>
      <c r="M90" s="228"/>
      <c r="N90" s="228">
        <f>1600000-1600000+1600000</f>
        <v>1600000</v>
      </c>
      <c r="O90" s="121"/>
      <c r="P90" s="121"/>
      <c r="Q90" s="121">
        <v>250000</v>
      </c>
      <c r="R90" s="121"/>
      <c r="S90" s="121"/>
      <c r="T90" s="121"/>
      <c r="U90" s="121"/>
      <c r="V90" s="12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28" customFormat="1" ht="35.25" customHeight="1" x14ac:dyDescent="0.25">
      <c r="A91" s="271" t="s">
        <v>316</v>
      </c>
      <c r="B91" s="272"/>
      <c r="C91" s="272"/>
      <c r="D91" s="273"/>
      <c r="E91" s="109">
        <v>2650</v>
      </c>
      <c r="F91" s="109">
        <v>244</v>
      </c>
      <c r="G91" s="225">
        <v>341</v>
      </c>
      <c r="H91" s="229">
        <f t="shared" si="0"/>
        <v>775800</v>
      </c>
      <c r="I91" s="229">
        <f t="shared" si="0"/>
        <v>0</v>
      </c>
      <c r="J91" s="229">
        <f t="shared" si="0"/>
        <v>0</v>
      </c>
      <c r="K91" s="229">
        <f>523401.43-523401.43</f>
        <v>0</v>
      </c>
      <c r="L91" s="229"/>
      <c r="M91" s="229"/>
      <c r="N91" s="229">
        <f>369013.07+300000-369013.07+475800</f>
        <v>775800</v>
      </c>
      <c r="O91" s="229"/>
      <c r="P91" s="229"/>
      <c r="Q91" s="229"/>
      <c r="R91" s="229"/>
      <c r="S91" s="229"/>
      <c r="T91" s="229"/>
      <c r="U91" s="229"/>
      <c r="V91" s="229"/>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28" customFormat="1" ht="27" customHeight="1" x14ac:dyDescent="0.25">
      <c r="A92" s="271" t="s">
        <v>303</v>
      </c>
      <c r="B92" s="272"/>
      <c r="C92" s="272"/>
      <c r="D92" s="273"/>
      <c r="E92" s="109">
        <v>2651</v>
      </c>
      <c r="F92" s="109">
        <v>244</v>
      </c>
      <c r="G92" s="225">
        <v>343</v>
      </c>
      <c r="H92" s="121">
        <f t="shared" si="0"/>
        <v>0</v>
      </c>
      <c r="I92" s="121">
        <f t="shared" si="0"/>
        <v>0</v>
      </c>
      <c r="J92" s="121">
        <f t="shared" si="0"/>
        <v>0</v>
      </c>
      <c r="K92" s="121"/>
      <c r="L92" s="121"/>
      <c r="M92" s="121"/>
      <c r="N92" s="121"/>
      <c r="O92" s="121"/>
      <c r="P92" s="121"/>
      <c r="Q92" s="121"/>
      <c r="R92" s="121"/>
      <c r="S92" s="121"/>
      <c r="T92" s="121"/>
      <c r="U92" s="121"/>
      <c r="V92" s="12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28" customFormat="1" ht="19.5" customHeight="1" x14ac:dyDescent="0.25">
      <c r="A93" s="271" t="s">
        <v>317</v>
      </c>
      <c r="B93" s="272"/>
      <c r="C93" s="272"/>
      <c r="D93" s="273"/>
      <c r="E93" s="109">
        <v>2652</v>
      </c>
      <c r="F93" s="109">
        <v>244</v>
      </c>
      <c r="G93" s="225">
        <v>345</v>
      </c>
      <c r="H93" s="121">
        <f t="shared" si="0"/>
        <v>100000</v>
      </c>
      <c r="I93" s="121">
        <f t="shared" si="0"/>
        <v>0</v>
      </c>
      <c r="J93" s="121">
        <f t="shared" si="0"/>
        <v>0</v>
      </c>
      <c r="K93" s="121"/>
      <c r="L93" s="121"/>
      <c r="M93" s="121"/>
      <c r="N93" s="121">
        <f>875800-300000-475800</f>
        <v>100000</v>
      </c>
      <c r="O93" s="121"/>
      <c r="P93" s="121"/>
      <c r="Q93" s="121"/>
      <c r="R93" s="121"/>
      <c r="S93" s="121"/>
      <c r="T93" s="121"/>
      <c r="U93" s="121"/>
      <c r="V93" s="12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28" customFormat="1" ht="29.25" customHeight="1" x14ac:dyDescent="0.25">
      <c r="A94" s="271" t="s">
        <v>304</v>
      </c>
      <c r="B94" s="272"/>
      <c r="C94" s="272"/>
      <c r="D94" s="273"/>
      <c r="E94" s="109">
        <v>2653</v>
      </c>
      <c r="F94" s="109">
        <v>244</v>
      </c>
      <c r="G94" s="225">
        <v>346</v>
      </c>
      <c r="H94" s="121">
        <f t="shared" si="0"/>
        <v>0</v>
      </c>
      <c r="I94" s="121">
        <f t="shared" si="0"/>
        <v>0</v>
      </c>
      <c r="J94" s="121">
        <f t="shared" si="0"/>
        <v>0</v>
      </c>
      <c r="K94" s="121"/>
      <c r="L94" s="121"/>
      <c r="M94" s="121"/>
      <c r="N94" s="121"/>
      <c r="O94" s="121"/>
      <c r="P94" s="121"/>
      <c r="Q94" s="121"/>
      <c r="R94" s="121"/>
      <c r="S94" s="121"/>
      <c r="T94" s="121"/>
      <c r="U94" s="121"/>
      <c r="V94" s="12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28" customFormat="1" ht="29.25" customHeight="1" x14ac:dyDescent="0.25">
      <c r="A95" s="313" t="s">
        <v>318</v>
      </c>
      <c r="B95" s="314"/>
      <c r="C95" s="314"/>
      <c r="D95" s="315"/>
      <c r="E95" s="109"/>
      <c r="F95" s="109">
        <v>244</v>
      </c>
      <c r="G95" s="225">
        <v>349</v>
      </c>
      <c r="H95" s="121">
        <f t="shared" si="0"/>
        <v>0</v>
      </c>
      <c r="I95" s="121">
        <f t="shared" si="0"/>
        <v>0</v>
      </c>
      <c r="J95" s="121">
        <f t="shared" si="0"/>
        <v>0</v>
      </c>
      <c r="K95" s="121"/>
      <c r="L95" s="121"/>
      <c r="M95" s="121"/>
      <c r="N95" s="121"/>
      <c r="O95" s="121"/>
      <c r="P95" s="121"/>
      <c r="Q95" s="121"/>
      <c r="R95" s="121"/>
      <c r="S95" s="121"/>
      <c r="T95" s="121"/>
      <c r="U95" s="121"/>
      <c r="V95" s="12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28" customFormat="1" ht="32.25" customHeight="1" x14ac:dyDescent="0.25">
      <c r="A96" s="506" t="s">
        <v>264</v>
      </c>
      <c r="B96" s="506"/>
      <c r="C96" s="506"/>
      <c r="D96" s="506"/>
      <c r="E96" s="109">
        <v>2660</v>
      </c>
      <c r="F96" s="109">
        <v>400</v>
      </c>
      <c r="G96" s="225"/>
      <c r="H96" s="121">
        <f t="shared" si="0"/>
        <v>0</v>
      </c>
      <c r="I96" s="121">
        <f t="shared" si="0"/>
        <v>0</v>
      </c>
      <c r="J96" s="121">
        <f t="shared" si="0"/>
        <v>0</v>
      </c>
      <c r="K96" s="121"/>
      <c r="L96" s="121"/>
      <c r="M96" s="121"/>
      <c r="N96" s="121"/>
      <c r="O96" s="121"/>
      <c r="P96" s="121"/>
      <c r="Q96" s="121"/>
      <c r="R96" s="121"/>
      <c r="S96" s="121"/>
      <c r="T96" s="121"/>
      <c r="U96" s="121"/>
      <c r="V96" s="12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28" customFormat="1" ht="43.5" customHeight="1" x14ac:dyDescent="0.25">
      <c r="A97" s="506" t="s">
        <v>265</v>
      </c>
      <c r="B97" s="506"/>
      <c r="C97" s="506"/>
      <c r="D97" s="506"/>
      <c r="E97" s="109">
        <v>2661</v>
      </c>
      <c r="F97" s="109">
        <v>406</v>
      </c>
      <c r="G97" s="225"/>
      <c r="H97" s="121">
        <f t="shared" si="0"/>
        <v>0</v>
      </c>
      <c r="I97" s="121">
        <f t="shared" si="0"/>
        <v>0</v>
      </c>
      <c r="J97" s="121">
        <f t="shared" si="0"/>
        <v>0</v>
      </c>
      <c r="K97" s="121"/>
      <c r="L97" s="121"/>
      <c r="M97" s="121"/>
      <c r="N97" s="121"/>
      <c r="O97" s="121"/>
      <c r="P97" s="121"/>
      <c r="Q97" s="121"/>
      <c r="R97" s="121"/>
      <c r="S97" s="121"/>
      <c r="T97" s="121"/>
      <c r="U97" s="121"/>
      <c r="V97" s="12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28" customFormat="1" ht="34.5" customHeight="1" x14ac:dyDescent="0.25">
      <c r="A98" s="506" t="s">
        <v>266</v>
      </c>
      <c r="B98" s="506"/>
      <c r="C98" s="506"/>
      <c r="D98" s="506"/>
      <c r="E98" s="109">
        <v>2662</v>
      </c>
      <c r="F98" s="109">
        <v>407</v>
      </c>
      <c r="G98" s="225"/>
      <c r="H98" s="121">
        <f t="shared" si="0"/>
        <v>0</v>
      </c>
      <c r="I98" s="121">
        <f t="shared" si="0"/>
        <v>0</v>
      </c>
      <c r="J98" s="121">
        <f t="shared" si="0"/>
        <v>0</v>
      </c>
      <c r="K98" s="121"/>
      <c r="L98" s="121"/>
      <c r="M98" s="121"/>
      <c r="N98" s="121"/>
      <c r="O98" s="121"/>
      <c r="P98" s="121"/>
      <c r="Q98" s="121"/>
      <c r="R98" s="121"/>
      <c r="S98" s="121"/>
      <c r="T98" s="121"/>
      <c r="U98" s="121"/>
      <c r="V98" s="12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28" customFormat="1" ht="19.5" customHeight="1" x14ac:dyDescent="0.25">
      <c r="A99" s="519" t="s">
        <v>143</v>
      </c>
      <c r="B99" s="519"/>
      <c r="C99" s="519"/>
      <c r="D99" s="519"/>
      <c r="E99" s="124">
        <v>3000</v>
      </c>
      <c r="F99" s="124">
        <v>100</v>
      </c>
      <c r="G99" s="226"/>
      <c r="H99" s="123">
        <f t="shared" si="0"/>
        <v>0</v>
      </c>
      <c r="I99" s="123">
        <f t="shared" si="0"/>
        <v>0</v>
      </c>
      <c r="J99" s="123">
        <f t="shared" si="0"/>
        <v>0</v>
      </c>
      <c r="K99" s="123"/>
      <c r="L99" s="123"/>
      <c r="M99" s="123"/>
      <c r="N99" s="123"/>
      <c r="O99" s="123"/>
      <c r="P99" s="123"/>
      <c r="Q99" s="123"/>
      <c r="R99" s="123"/>
      <c r="S99" s="123"/>
      <c r="T99" s="123"/>
      <c r="U99" s="123"/>
      <c r="V99" s="123"/>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row>
    <row r="100" spans="1:75" s="28" customFormat="1" ht="30.75" customHeight="1" x14ac:dyDescent="0.25">
      <c r="A100" s="506" t="s">
        <v>144</v>
      </c>
      <c r="B100" s="506"/>
      <c r="C100" s="506"/>
      <c r="D100" s="506"/>
      <c r="E100" s="109">
        <v>3010</v>
      </c>
      <c r="F100" s="109"/>
      <c r="G100" s="225"/>
      <c r="H100" s="121">
        <f t="shared" si="0"/>
        <v>0</v>
      </c>
      <c r="I100" s="121">
        <f t="shared" si="0"/>
        <v>0</v>
      </c>
      <c r="J100" s="121">
        <f t="shared" si="0"/>
        <v>0</v>
      </c>
      <c r="K100" s="121"/>
      <c r="L100" s="121"/>
      <c r="M100" s="121"/>
      <c r="N100" s="121"/>
      <c r="O100" s="121"/>
      <c r="P100" s="121"/>
      <c r="Q100" s="121"/>
      <c r="R100" s="121"/>
      <c r="S100" s="121"/>
      <c r="T100" s="121"/>
      <c r="U100" s="121"/>
      <c r="V100" s="12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28" customFormat="1" ht="19.5" customHeight="1" x14ac:dyDescent="0.25">
      <c r="A101" s="319" t="s">
        <v>145</v>
      </c>
      <c r="B101" s="319"/>
      <c r="C101" s="319"/>
      <c r="D101" s="319"/>
      <c r="E101" s="84">
        <v>3020</v>
      </c>
      <c r="F101" s="84"/>
      <c r="G101" s="200"/>
      <c r="H101" s="121">
        <f t="shared" ref="H101:J104" si="7">K101+N101+Q101+T101</f>
        <v>0</v>
      </c>
      <c r="I101" s="121">
        <f t="shared" si="7"/>
        <v>0</v>
      </c>
      <c r="J101" s="121">
        <f t="shared" si="7"/>
        <v>0</v>
      </c>
      <c r="K101" s="121"/>
      <c r="L101" s="121"/>
      <c r="M101" s="121"/>
      <c r="N101" s="121"/>
      <c r="O101" s="121"/>
      <c r="P101" s="121"/>
      <c r="Q101" s="121"/>
      <c r="R101" s="121"/>
      <c r="S101" s="121"/>
      <c r="T101" s="121"/>
      <c r="U101" s="121"/>
      <c r="V101" s="12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s="28" customFormat="1" ht="19.5" customHeight="1" x14ac:dyDescent="0.25">
      <c r="A102" s="319" t="s">
        <v>146</v>
      </c>
      <c r="B102" s="319"/>
      <c r="C102" s="319"/>
      <c r="D102" s="319"/>
      <c r="E102" s="84">
        <v>3030</v>
      </c>
      <c r="F102" s="84"/>
      <c r="G102" s="200"/>
      <c r="H102" s="121">
        <f t="shared" si="7"/>
        <v>0</v>
      </c>
      <c r="I102" s="121">
        <f t="shared" si="7"/>
        <v>0</v>
      </c>
      <c r="J102" s="121">
        <f t="shared" si="7"/>
        <v>0</v>
      </c>
      <c r="K102" s="121"/>
      <c r="L102" s="121"/>
      <c r="M102" s="121"/>
      <c r="N102" s="121"/>
      <c r="O102" s="121"/>
      <c r="P102" s="121"/>
      <c r="Q102" s="121"/>
      <c r="R102" s="121"/>
      <c r="S102" s="121"/>
      <c r="T102" s="121"/>
      <c r="U102" s="121"/>
      <c r="V102" s="12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28" customFormat="1" ht="19.5" customHeight="1" x14ac:dyDescent="0.25">
      <c r="A103" s="472" t="s">
        <v>147</v>
      </c>
      <c r="B103" s="472"/>
      <c r="C103" s="472"/>
      <c r="D103" s="472"/>
      <c r="E103" s="85">
        <v>4000</v>
      </c>
      <c r="F103" s="85" t="s">
        <v>9</v>
      </c>
      <c r="G103" s="217"/>
      <c r="H103" s="123">
        <f t="shared" si="7"/>
        <v>0</v>
      </c>
      <c r="I103" s="123">
        <f t="shared" si="7"/>
        <v>0</v>
      </c>
      <c r="J103" s="123">
        <f t="shared" si="7"/>
        <v>0</v>
      </c>
      <c r="K103" s="123"/>
      <c r="L103" s="123"/>
      <c r="M103" s="123"/>
      <c r="N103" s="123"/>
      <c r="O103" s="123"/>
      <c r="P103" s="123"/>
      <c r="Q103" s="123"/>
      <c r="R103" s="123"/>
      <c r="S103" s="123"/>
      <c r="T103" s="123"/>
      <c r="U103" s="123"/>
      <c r="V103" s="123"/>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row>
    <row r="104" spans="1:75" s="28" customFormat="1" ht="26.25" customHeight="1" x14ac:dyDescent="0.25">
      <c r="A104" s="319" t="s">
        <v>148</v>
      </c>
      <c r="B104" s="319"/>
      <c r="C104" s="319"/>
      <c r="D104" s="319"/>
      <c r="E104" s="84">
        <v>4010</v>
      </c>
      <c r="F104" s="76">
        <v>610</v>
      </c>
      <c r="G104" s="200"/>
      <c r="H104" s="121">
        <f t="shared" si="7"/>
        <v>0</v>
      </c>
      <c r="I104" s="121">
        <f t="shared" si="7"/>
        <v>0</v>
      </c>
      <c r="J104" s="121">
        <f t="shared" si="7"/>
        <v>0</v>
      </c>
      <c r="K104" s="121"/>
      <c r="L104" s="121"/>
      <c r="M104" s="121"/>
      <c r="N104" s="121"/>
      <c r="O104" s="121"/>
      <c r="P104" s="121"/>
      <c r="Q104" s="121"/>
      <c r="R104" s="121"/>
      <c r="S104" s="121"/>
      <c r="T104" s="121"/>
      <c r="U104" s="121"/>
      <c r="V104" s="12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row>
    <row r="105" spans="1:75" s="28" customFormat="1" ht="19.5" customHeight="1" x14ac:dyDescent="0.25">
      <c r="A105" s="79"/>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row>
    <row r="106" spans="1:75" s="70" customFormat="1" ht="20.25" customHeight="1" x14ac:dyDescent="0.25">
      <c r="A106" s="36" t="s">
        <v>225</v>
      </c>
      <c r="B106" s="14"/>
      <c r="C106" s="18"/>
      <c r="D106" s="103"/>
      <c r="E106" s="15"/>
      <c r="F106" s="18"/>
      <c r="G106" s="103"/>
      <c r="H106" s="29"/>
      <c r="I106" s="35"/>
      <c r="J106" s="18"/>
      <c r="K106" s="106" t="s">
        <v>280</v>
      </c>
      <c r="L106" s="106"/>
      <c r="M106" s="71"/>
      <c r="N106" s="71"/>
      <c r="O106" s="71"/>
      <c r="P106" s="71"/>
      <c r="Q106" s="71"/>
      <c r="R106" s="71"/>
      <c r="S106" s="71"/>
      <c r="T106" s="71"/>
      <c r="U106" s="71"/>
      <c r="V106" s="71"/>
    </row>
    <row r="107" spans="1:75" s="70" customFormat="1" ht="11.25" customHeight="1" x14ac:dyDescent="0.2">
      <c r="A107" s="37"/>
      <c r="B107" s="16" t="s">
        <v>30</v>
      </c>
      <c r="C107" s="517"/>
      <c r="D107" s="517"/>
      <c r="E107" s="16"/>
      <c r="F107" s="517"/>
      <c r="G107" s="517"/>
      <c r="H107" s="518" t="s">
        <v>31</v>
      </c>
      <c r="I107" s="518"/>
      <c r="J107" s="54"/>
      <c r="K107" s="524" t="s">
        <v>11</v>
      </c>
      <c r="L107" s="524"/>
      <c r="M107" s="71"/>
      <c r="N107" s="71"/>
      <c r="O107" s="71"/>
      <c r="P107" s="71"/>
      <c r="Q107" s="71"/>
      <c r="R107" s="71"/>
      <c r="S107" s="71"/>
      <c r="T107" s="71"/>
      <c r="U107" s="71"/>
      <c r="V107" s="71"/>
    </row>
    <row r="108" spans="1:75" s="70" customFormat="1" ht="23.25" customHeight="1" x14ac:dyDescent="0.25">
      <c r="A108" s="36" t="s">
        <v>251</v>
      </c>
      <c r="B108" s="14"/>
      <c r="C108" s="18"/>
      <c r="D108" s="103"/>
      <c r="E108" s="15"/>
      <c r="F108" s="18"/>
      <c r="G108" s="103"/>
      <c r="H108" s="29"/>
      <c r="I108" s="35"/>
      <c r="J108" s="18"/>
      <c r="K108" s="106" t="s">
        <v>282</v>
      </c>
      <c r="L108" s="106"/>
      <c r="M108" s="71"/>
      <c r="N108" s="71"/>
      <c r="O108" s="71"/>
      <c r="P108" s="71"/>
      <c r="Q108" s="71"/>
      <c r="R108" s="71"/>
      <c r="S108" s="71"/>
      <c r="T108" s="71"/>
      <c r="U108" s="71"/>
      <c r="V108" s="71"/>
    </row>
    <row r="109" spans="1:75" s="70" customFormat="1" ht="20.25" customHeight="1" x14ac:dyDescent="0.2">
      <c r="A109" s="31"/>
      <c r="B109" s="16"/>
      <c r="C109" s="520"/>
      <c r="D109" s="520"/>
      <c r="E109" s="16"/>
      <c r="F109" s="520"/>
      <c r="G109" s="520"/>
      <c r="H109" s="521" t="s">
        <v>31</v>
      </c>
      <c r="I109" s="521"/>
      <c r="J109" s="54"/>
      <c r="K109" s="524" t="s">
        <v>11</v>
      </c>
      <c r="L109" s="524"/>
      <c r="M109" s="71"/>
      <c r="N109" s="71"/>
      <c r="O109" s="71"/>
      <c r="P109" s="71"/>
      <c r="Q109" s="71"/>
      <c r="R109" s="71"/>
      <c r="S109" s="71"/>
      <c r="T109" s="71"/>
      <c r="U109" s="71"/>
      <c r="V109" s="71"/>
    </row>
    <row r="110" spans="1:75" s="70" customFormat="1" ht="20.25" customHeight="1" x14ac:dyDescent="0.2">
      <c r="A110" s="31"/>
      <c r="B110" s="521" t="s">
        <v>248</v>
      </c>
      <c r="C110" s="521"/>
      <c r="D110" s="75"/>
      <c r="E110" s="16"/>
      <c r="F110" s="75"/>
      <c r="G110" s="75"/>
      <c r="H110" s="74"/>
      <c r="I110" s="74"/>
      <c r="J110" s="54"/>
      <c r="K110" s="107"/>
      <c r="L110" s="107"/>
      <c r="M110" s="71"/>
      <c r="N110" s="71"/>
      <c r="O110" s="71"/>
      <c r="P110" s="71"/>
      <c r="Q110" s="71"/>
      <c r="R110" s="71"/>
      <c r="S110" s="71"/>
      <c r="T110" s="71"/>
      <c r="U110" s="71"/>
      <c r="V110" s="71"/>
    </row>
    <row r="111" spans="1:75" s="70" customFormat="1" ht="24" customHeight="1" x14ac:dyDescent="0.25">
      <c r="A111" s="36" t="s">
        <v>228</v>
      </c>
      <c r="B111" s="14"/>
      <c r="C111" s="18"/>
      <c r="D111" s="103"/>
      <c r="E111" s="15"/>
      <c r="F111" s="18"/>
      <c r="G111" s="103"/>
      <c r="H111" s="29"/>
      <c r="I111" s="35"/>
      <c r="J111" s="18"/>
      <c r="K111" s="106" t="s">
        <v>282</v>
      </c>
      <c r="L111" s="106"/>
      <c r="M111" s="71"/>
      <c r="N111" s="71"/>
      <c r="O111" s="71"/>
      <c r="P111" s="71"/>
      <c r="Q111" s="71"/>
      <c r="R111" s="71"/>
      <c r="S111" s="71"/>
      <c r="T111" s="71"/>
      <c r="U111" s="71"/>
      <c r="V111" s="71"/>
    </row>
    <row r="112" spans="1:75" s="70" customFormat="1" ht="22.5" customHeight="1" x14ac:dyDescent="0.2">
      <c r="A112" s="31"/>
      <c r="B112" s="16"/>
      <c r="C112" s="520"/>
      <c r="D112" s="520"/>
      <c r="E112" s="16"/>
      <c r="F112" s="520"/>
      <c r="G112" s="520"/>
      <c r="H112" s="521" t="s">
        <v>31</v>
      </c>
      <c r="I112" s="521"/>
      <c r="J112" s="54"/>
      <c r="K112" s="522" t="s">
        <v>11</v>
      </c>
      <c r="L112" s="522"/>
      <c r="M112" s="71"/>
      <c r="N112" s="71"/>
      <c r="O112" s="71"/>
      <c r="P112" s="71"/>
      <c r="Q112" s="71"/>
      <c r="R112" s="71"/>
      <c r="S112" s="71"/>
      <c r="T112" s="71"/>
      <c r="U112" s="71"/>
      <c r="V112" s="71"/>
    </row>
    <row r="113" spans="1:148" s="70" customFormat="1" ht="9.75" customHeight="1" x14ac:dyDescent="0.2">
      <c r="A113" s="102"/>
      <c r="B113" s="523"/>
      <c r="C113" s="523"/>
      <c r="D113" s="102"/>
      <c r="E113" s="71"/>
      <c r="F113" s="71"/>
      <c r="G113" s="71"/>
      <c r="H113" s="71"/>
      <c r="I113" s="71"/>
      <c r="J113" s="71"/>
      <c r="K113" s="71"/>
      <c r="L113" s="71"/>
      <c r="M113" s="71"/>
      <c r="N113" s="71"/>
      <c r="O113" s="71"/>
      <c r="P113" s="71"/>
      <c r="Q113" s="71"/>
      <c r="R113" s="71"/>
      <c r="S113" s="71"/>
      <c r="T113" s="71"/>
      <c r="U113" s="71"/>
      <c r="V113" s="71"/>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row>
    <row r="114" spans="1:148" s="70" customFormat="1" ht="10.5" customHeight="1" x14ac:dyDescent="0.2">
      <c r="A114" s="256" t="s">
        <v>149</v>
      </c>
      <c r="B114" s="256"/>
      <c r="C114" s="256"/>
      <c r="D114" s="256"/>
      <c r="E114" s="256"/>
      <c r="F114" s="256"/>
      <c r="G114" s="256"/>
      <c r="H114" s="256"/>
      <c r="I114" s="256"/>
      <c r="J114" s="256"/>
      <c r="K114" s="256"/>
      <c r="L114" s="256"/>
      <c r="M114" s="256"/>
      <c r="N114" s="256"/>
    </row>
    <row r="115" spans="1:148" s="70" customFormat="1" ht="14.25" customHeight="1" x14ac:dyDescent="0.2">
      <c r="A115" s="256" t="s">
        <v>268</v>
      </c>
      <c r="B115" s="256"/>
      <c r="C115" s="256"/>
      <c r="D115" s="256"/>
      <c r="E115" s="256"/>
      <c r="F115" s="256"/>
      <c r="G115" s="256"/>
      <c r="H115" s="256"/>
      <c r="I115" s="256"/>
      <c r="J115" s="256"/>
      <c r="K115" s="256"/>
      <c r="L115" s="256"/>
      <c r="M115" s="256"/>
      <c r="N115" s="256"/>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row>
    <row r="116" spans="1:148" s="70" customFormat="1" ht="12" customHeight="1" x14ac:dyDescent="0.2">
      <c r="A116" s="256" t="s">
        <v>150</v>
      </c>
      <c r="B116" s="256"/>
      <c r="C116" s="256"/>
      <c r="D116" s="256"/>
      <c r="E116" s="256"/>
      <c r="F116" s="256"/>
      <c r="G116" s="256"/>
      <c r="H116" s="256"/>
      <c r="I116" s="256"/>
      <c r="J116" s="256"/>
      <c r="K116" s="256"/>
      <c r="L116" s="256"/>
      <c r="M116" s="256"/>
      <c r="N116" s="256"/>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row>
    <row r="117" spans="1:148" s="70" customFormat="1" ht="17.25" customHeight="1" x14ac:dyDescent="0.2">
      <c r="A117" s="262" t="s">
        <v>151</v>
      </c>
      <c r="B117" s="262"/>
      <c r="C117" s="262"/>
      <c r="D117" s="262"/>
      <c r="E117" s="262"/>
      <c r="F117" s="262"/>
      <c r="G117" s="262"/>
      <c r="H117" s="262"/>
      <c r="I117" s="262"/>
      <c r="J117" s="262"/>
      <c r="K117" s="262"/>
      <c r="L117" s="262"/>
      <c r="M117" s="262"/>
      <c r="N117" s="262"/>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row>
    <row r="118" spans="1:148" s="70" customFormat="1" ht="11.25" customHeight="1" x14ac:dyDescent="0.2">
      <c r="A118" s="262" t="s">
        <v>152</v>
      </c>
      <c r="B118" s="262"/>
      <c r="C118" s="262"/>
      <c r="D118" s="262"/>
      <c r="E118" s="262"/>
      <c r="F118" s="262"/>
      <c r="G118" s="262"/>
      <c r="H118" s="262"/>
      <c r="I118" s="262"/>
      <c r="J118" s="262"/>
      <c r="K118" s="262"/>
      <c r="L118" s="262"/>
      <c r="M118" s="262"/>
      <c r="N118" s="262"/>
    </row>
    <row r="119" spans="1:148" s="70" customFormat="1" ht="11.25" customHeight="1" x14ac:dyDescent="0.2">
      <c r="A119" s="262" t="s">
        <v>153</v>
      </c>
      <c r="B119" s="262"/>
      <c r="C119" s="262"/>
      <c r="D119" s="262"/>
      <c r="E119" s="262"/>
      <c r="F119" s="262"/>
      <c r="G119" s="262"/>
      <c r="H119" s="262"/>
      <c r="I119" s="262"/>
      <c r="J119" s="262"/>
      <c r="K119" s="262"/>
      <c r="L119" s="262"/>
      <c r="M119" s="262"/>
      <c r="N119" s="262"/>
    </row>
    <row r="120" spans="1:148" s="70" customFormat="1" ht="28.5" customHeight="1" x14ac:dyDescent="0.2">
      <c r="A120" s="262" t="s">
        <v>154</v>
      </c>
      <c r="B120" s="262"/>
      <c r="C120" s="262"/>
      <c r="D120" s="262"/>
      <c r="E120" s="262"/>
      <c r="F120" s="262"/>
      <c r="G120" s="262"/>
      <c r="H120" s="262"/>
      <c r="I120" s="262"/>
      <c r="J120" s="262"/>
      <c r="K120" s="262"/>
      <c r="L120" s="262"/>
      <c r="M120" s="262"/>
      <c r="N120" s="262"/>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row>
    <row r="121" spans="1:148" s="28" customFormat="1" ht="12.75" customHeight="1" x14ac:dyDescent="0.25">
      <c r="A121" s="262" t="s">
        <v>267</v>
      </c>
      <c r="B121" s="262"/>
      <c r="C121" s="262"/>
      <c r="D121" s="262"/>
      <c r="E121" s="262"/>
      <c r="F121" s="262"/>
      <c r="G121" s="262"/>
      <c r="H121" s="262"/>
      <c r="I121" s="262"/>
      <c r="J121" s="262"/>
      <c r="K121" s="262"/>
      <c r="L121" s="262"/>
      <c r="M121" s="262"/>
      <c r="N121" s="262"/>
      <c r="O121" s="70"/>
      <c r="P121" s="70"/>
      <c r="Q121" s="70"/>
      <c r="R121" s="70"/>
      <c r="S121" s="70"/>
      <c r="T121" s="70"/>
      <c r="U121" s="70"/>
      <c r="V121" s="70"/>
    </row>
    <row r="122" spans="1:148" s="28" customFormat="1" ht="41.25" customHeight="1" x14ac:dyDescent="0.25">
      <c r="A122" s="262" t="s">
        <v>155</v>
      </c>
      <c r="B122" s="262"/>
      <c r="C122" s="262"/>
      <c r="D122" s="262"/>
      <c r="E122" s="262"/>
      <c r="F122" s="262"/>
      <c r="G122" s="262"/>
      <c r="H122" s="262"/>
      <c r="I122" s="262"/>
      <c r="J122" s="262"/>
      <c r="K122" s="262"/>
      <c r="L122" s="262"/>
      <c r="M122" s="262"/>
      <c r="N122" s="262"/>
      <c r="O122" s="78"/>
      <c r="P122" s="78"/>
      <c r="Q122" s="78"/>
      <c r="R122" s="78"/>
      <c r="S122" s="78"/>
      <c r="T122" s="78"/>
      <c r="U122" s="78"/>
      <c r="V122" s="78"/>
    </row>
    <row r="123" spans="1:148" s="28" customFormat="1" ht="30" customHeight="1" x14ac:dyDescent="0.25">
      <c r="A123" s="262" t="s">
        <v>260</v>
      </c>
      <c r="B123" s="262"/>
      <c r="C123" s="262"/>
      <c r="D123" s="262"/>
      <c r="E123" s="262"/>
      <c r="F123" s="262"/>
      <c r="G123" s="262"/>
      <c r="H123" s="262"/>
      <c r="I123" s="262"/>
      <c r="J123" s="262"/>
      <c r="K123" s="78"/>
      <c r="L123" s="78"/>
      <c r="M123" s="78"/>
      <c r="N123" s="78"/>
      <c r="O123" s="78"/>
      <c r="P123" s="78"/>
      <c r="Q123" s="78"/>
      <c r="R123" s="78"/>
      <c r="S123" s="78"/>
      <c r="T123" s="78"/>
      <c r="U123" s="78"/>
      <c r="V123" s="78"/>
    </row>
    <row r="124" spans="1:148" s="28" customFormat="1" ht="39.75" customHeight="1" x14ac:dyDescent="0.25">
      <c r="A124" s="262" t="s">
        <v>156</v>
      </c>
      <c r="B124" s="262"/>
      <c r="C124" s="262"/>
      <c r="D124" s="262"/>
      <c r="E124" s="262"/>
      <c r="F124" s="262"/>
      <c r="G124" s="262"/>
      <c r="H124" s="262"/>
      <c r="I124" s="262"/>
      <c r="J124" s="262"/>
      <c r="K124" s="262"/>
      <c r="L124" s="262"/>
      <c r="M124" s="262"/>
      <c r="N124" s="262"/>
      <c r="O124" s="78"/>
      <c r="P124" s="78"/>
      <c r="Q124" s="78"/>
      <c r="R124" s="78"/>
      <c r="S124" s="78"/>
      <c r="T124" s="78"/>
      <c r="U124" s="78"/>
      <c r="V124" s="78"/>
    </row>
    <row r="125" spans="1:148" s="28" customFormat="1" ht="19.5" customHeight="1" x14ac:dyDescent="0.25">
      <c r="A125" s="262" t="s">
        <v>157</v>
      </c>
      <c r="B125" s="262"/>
      <c r="C125" s="262"/>
      <c r="D125" s="262"/>
      <c r="E125" s="262"/>
      <c r="F125" s="262"/>
      <c r="G125" s="262"/>
      <c r="H125" s="262"/>
      <c r="I125" s="262"/>
      <c r="J125" s="262"/>
      <c r="K125" s="262"/>
      <c r="L125" s="262"/>
      <c r="M125" s="262"/>
      <c r="N125" s="262"/>
      <c r="O125" s="70"/>
      <c r="P125" s="70"/>
      <c r="Q125" s="70"/>
      <c r="R125" s="70"/>
      <c r="S125" s="70"/>
      <c r="T125" s="70"/>
      <c r="U125" s="70"/>
      <c r="V125" s="70"/>
    </row>
    <row r="126" spans="1:148" s="28" customFormat="1" ht="19.5" customHeight="1" x14ac:dyDescent="0.25">
      <c r="A126" s="262" t="s">
        <v>158</v>
      </c>
      <c r="B126" s="262"/>
      <c r="C126" s="262"/>
      <c r="D126" s="262"/>
      <c r="E126" s="262"/>
      <c r="F126" s="262"/>
      <c r="G126" s="262"/>
      <c r="H126" s="262"/>
      <c r="I126" s="262"/>
      <c r="J126" s="262"/>
      <c r="K126" s="262"/>
      <c r="L126" s="262"/>
      <c r="M126" s="262"/>
      <c r="N126" s="262"/>
      <c r="O126" s="70"/>
      <c r="P126" s="70"/>
      <c r="Q126" s="70"/>
      <c r="R126" s="70"/>
      <c r="S126" s="70"/>
      <c r="T126" s="70"/>
      <c r="U126" s="70"/>
      <c r="V126" s="70"/>
    </row>
    <row r="127" spans="1:148" s="28" customFormat="1" ht="40.5" customHeight="1" x14ac:dyDescent="0.25">
      <c r="A127" s="262" t="s">
        <v>159</v>
      </c>
      <c r="B127" s="262"/>
      <c r="C127" s="262"/>
      <c r="D127" s="262"/>
      <c r="E127" s="262"/>
      <c r="F127" s="262"/>
      <c r="G127" s="262"/>
      <c r="H127" s="262"/>
      <c r="I127" s="262"/>
      <c r="J127" s="262"/>
      <c r="K127" s="262"/>
      <c r="L127" s="262"/>
      <c r="M127" s="262"/>
      <c r="N127" s="262"/>
      <c r="O127" s="78"/>
      <c r="P127" s="78"/>
      <c r="Q127" s="78"/>
      <c r="R127" s="78"/>
      <c r="S127" s="78"/>
      <c r="T127" s="78"/>
      <c r="U127" s="78"/>
      <c r="V127" s="78"/>
    </row>
    <row r="128" spans="1:148" s="28" customFormat="1" ht="19.5" customHeight="1" x14ac:dyDescent="0.25">
      <c r="A128" s="28" t="s">
        <v>323</v>
      </c>
      <c r="H128" s="108">
        <f>H13+H15-H42</f>
        <v>0</v>
      </c>
      <c r="I128" s="108">
        <f>I13+I15-I42</f>
        <v>0</v>
      </c>
      <c r="J128" s="108">
        <f>J13+J15-J42</f>
        <v>0</v>
      </c>
      <c r="K128" s="108">
        <f t="shared" ref="K128:V128" si="8">K13+K15-K42</f>
        <v>0</v>
      </c>
      <c r="L128" s="108">
        <f t="shared" si="8"/>
        <v>0</v>
      </c>
      <c r="M128" s="108">
        <f t="shared" si="8"/>
        <v>0</v>
      </c>
      <c r="N128" s="108">
        <f t="shared" si="8"/>
        <v>0</v>
      </c>
      <c r="O128" s="108">
        <f t="shared" si="8"/>
        <v>0</v>
      </c>
      <c r="P128" s="108">
        <f t="shared" si="8"/>
        <v>0</v>
      </c>
      <c r="Q128" s="108">
        <f t="shared" si="8"/>
        <v>0</v>
      </c>
      <c r="R128" s="108">
        <f t="shared" si="8"/>
        <v>0</v>
      </c>
      <c r="S128" s="108">
        <f t="shared" si="8"/>
        <v>0</v>
      </c>
      <c r="T128" s="108">
        <f t="shared" si="8"/>
        <v>0</v>
      </c>
      <c r="U128" s="108">
        <f t="shared" si="8"/>
        <v>0</v>
      </c>
      <c r="V128" s="28">
        <f t="shared" si="8"/>
        <v>0</v>
      </c>
    </row>
    <row r="129" spans="11:21" s="28" customFormat="1" ht="19.5" customHeight="1" x14ac:dyDescent="0.25">
      <c r="K129" s="108"/>
      <c r="L129" s="108"/>
      <c r="M129" s="108"/>
      <c r="N129" s="108"/>
      <c r="O129" s="108"/>
      <c r="P129" s="108"/>
      <c r="Q129" s="108"/>
      <c r="R129" s="108"/>
      <c r="S129" s="108"/>
      <c r="T129" s="108"/>
      <c r="U129" s="108"/>
    </row>
    <row r="130" spans="11:21" s="28" customFormat="1" ht="19.5" customHeight="1" x14ac:dyDescent="0.25"/>
    <row r="131" spans="11:21" s="28" customFormat="1" ht="19.5" customHeight="1" x14ac:dyDescent="0.25"/>
    <row r="132" spans="11:21" s="28" customFormat="1" ht="19.5" customHeight="1" x14ac:dyDescent="0.25"/>
    <row r="133" spans="11:21" s="28" customFormat="1" ht="19.5" customHeight="1" x14ac:dyDescent="0.25"/>
    <row r="134" spans="11:21" s="28" customFormat="1" ht="19.5" customHeight="1" x14ac:dyDescent="0.25"/>
    <row r="135" spans="11:21" s="28" customFormat="1" ht="19.5" customHeight="1" x14ac:dyDescent="0.25"/>
    <row r="136" spans="11:21" s="28" customFormat="1" ht="19.5" customHeight="1" x14ac:dyDescent="0.25"/>
    <row r="137" spans="11:21" s="28" customFormat="1" ht="19.5" customHeight="1" x14ac:dyDescent="0.25"/>
    <row r="138" spans="11:21" s="28" customFormat="1" ht="19.5" customHeight="1" x14ac:dyDescent="0.25"/>
    <row r="139" spans="11:21" s="28" customFormat="1" ht="19.5" customHeight="1" x14ac:dyDescent="0.25"/>
    <row r="140" spans="11:21" s="28" customFormat="1" ht="19.5" customHeight="1" x14ac:dyDescent="0.25"/>
    <row r="141" spans="11:21" s="28" customFormat="1" ht="19.5" customHeight="1" x14ac:dyDescent="0.25"/>
    <row r="142" spans="11:21" s="28" customFormat="1" ht="19.5" customHeight="1" x14ac:dyDescent="0.25"/>
    <row r="143" spans="11:21" s="28" customFormat="1" ht="19.5" customHeight="1" x14ac:dyDescent="0.25"/>
    <row r="144" spans="11:21" s="28" customFormat="1" ht="19.5" customHeight="1" x14ac:dyDescent="0.25"/>
    <row r="145" s="28" customFormat="1" ht="19.5" customHeight="1" x14ac:dyDescent="0.25"/>
    <row r="146" s="28" customFormat="1" ht="19.5" customHeight="1" x14ac:dyDescent="0.25"/>
    <row r="147" s="28" customFormat="1" ht="19.5" customHeight="1" x14ac:dyDescent="0.25"/>
    <row r="148" s="28" customFormat="1" ht="19.5" customHeight="1" x14ac:dyDescent="0.25"/>
    <row r="149" s="28" customFormat="1" ht="19.5" customHeight="1" x14ac:dyDescent="0.25"/>
    <row r="150" s="28" customFormat="1" ht="19.5" customHeight="1" x14ac:dyDescent="0.25"/>
    <row r="151" s="28" customFormat="1" ht="19.5" customHeight="1" x14ac:dyDescent="0.25"/>
    <row r="152" s="28" customFormat="1" ht="19.5" customHeight="1" x14ac:dyDescent="0.25"/>
    <row r="153" s="28" customFormat="1" ht="19.5" customHeight="1" x14ac:dyDescent="0.25"/>
    <row r="154" s="28" customFormat="1" ht="19.5" customHeight="1" x14ac:dyDescent="0.25"/>
    <row r="155" s="28" customFormat="1" ht="19.5" customHeight="1" x14ac:dyDescent="0.25"/>
    <row r="156" s="28" customFormat="1" ht="19.5" customHeight="1" x14ac:dyDescent="0.25"/>
    <row r="157" s="28" customFormat="1" ht="19.5" customHeight="1" x14ac:dyDescent="0.25"/>
    <row r="158" s="28" customFormat="1" ht="19.5" customHeight="1" x14ac:dyDescent="0.25"/>
    <row r="159" s="28" customFormat="1" ht="19.5" customHeight="1" x14ac:dyDescent="0.25"/>
    <row r="160" s="28" customFormat="1" ht="19.5" customHeight="1" x14ac:dyDescent="0.25"/>
    <row r="161" s="28" customFormat="1" ht="19.5" customHeight="1" x14ac:dyDescent="0.25"/>
    <row r="162" s="28" customFormat="1" ht="19.5" customHeight="1" x14ac:dyDescent="0.25"/>
    <row r="163" s="28" customFormat="1" ht="19.5" customHeight="1" x14ac:dyDescent="0.25"/>
    <row r="164" s="28" customFormat="1" ht="19.5" customHeight="1" x14ac:dyDescent="0.25"/>
    <row r="165" s="28" customFormat="1" ht="19.5" customHeight="1" x14ac:dyDescent="0.25"/>
    <row r="166" s="28" customFormat="1" ht="19.5" customHeight="1" x14ac:dyDescent="0.25"/>
    <row r="167" s="28" customFormat="1" ht="19.5" customHeight="1" x14ac:dyDescent="0.25"/>
    <row r="168" s="28" customFormat="1" ht="19.5" customHeight="1" x14ac:dyDescent="0.25"/>
    <row r="169" s="28" customFormat="1" ht="19.5" customHeight="1" x14ac:dyDescent="0.25"/>
    <row r="170" s="28" customFormat="1" ht="19.5" customHeight="1" x14ac:dyDescent="0.25"/>
    <row r="171" s="28" customFormat="1" ht="19.5" customHeight="1" x14ac:dyDescent="0.25"/>
    <row r="172" s="28" customFormat="1" ht="19.5" customHeight="1" x14ac:dyDescent="0.25"/>
    <row r="173" s="28" customFormat="1" ht="19.5" customHeight="1" x14ac:dyDescent="0.25"/>
    <row r="174" s="28" customFormat="1" ht="19.5" customHeight="1" x14ac:dyDescent="0.25"/>
    <row r="175" s="28" customFormat="1" ht="19.5" customHeight="1" x14ac:dyDescent="0.25"/>
    <row r="176" s="28" customFormat="1" ht="19.5" customHeight="1" x14ac:dyDescent="0.25"/>
    <row r="177" s="28" customFormat="1" ht="19.5" customHeight="1" x14ac:dyDescent="0.25"/>
    <row r="178" s="28" customFormat="1" ht="19.5" customHeight="1" x14ac:dyDescent="0.25"/>
    <row r="179" s="28" customFormat="1" ht="19.5" customHeight="1" x14ac:dyDescent="0.25"/>
    <row r="180" s="28" customFormat="1" ht="19.5" customHeight="1" x14ac:dyDescent="0.25"/>
    <row r="181" s="28" customFormat="1" ht="19.5" customHeight="1" x14ac:dyDescent="0.25"/>
    <row r="182" s="28" customFormat="1" ht="19.5" customHeight="1" x14ac:dyDescent="0.25"/>
    <row r="183" s="28" customFormat="1" ht="19.5" customHeight="1" x14ac:dyDescent="0.25"/>
    <row r="184" s="28" customFormat="1" ht="19.5" customHeight="1" x14ac:dyDescent="0.25"/>
    <row r="185" s="28" customFormat="1" ht="19.5" customHeight="1" x14ac:dyDescent="0.25"/>
    <row r="186" s="28" customFormat="1" ht="19.5" customHeight="1" x14ac:dyDescent="0.25"/>
    <row r="187" s="28" customFormat="1" ht="19.5" customHeight="1" x14ac:dyDescent="0.25"/>
    <row r="188" s="28" customFormat="1" ht="19.5" customHeight="1" x14ac:dyDescent="0.25"/>
    <row r="189" s="28" customFormat="1" ht="19.5" customHeight="1" x14ac:dyDescent="0.25"/>
    <row r="190" s="28" customFormat="1" ht="19.5" customHeight="1" x14ac:dyDescent="0.25"/>
    <row r="191" s="28" customFormat="1" ht="19.5" customHeight="1" x14ac:dyDescent="0.25"/>
    <row r="192" s="28" customFormat="1" ht="19.5" customHeight="1" x14ac:dyDescent="0.25"/>
    <row r="193" s="28" customFormat="1" ht="19.5" customHeight="1" x14ac:dyDescent="0.25"/>
    <row r="194" s="28" customFormat="1" ht="19.5" customHeight="1" x14ac:dyDescent="0.25"/>
    <row r="195" s="28" customFormat="1" ht="19.5" customHeight="1" x14ac:dyDescent="0.25"/>
    <row r="196" s="28" customFormat="1" ht="19.5" customHeight="1" x14ac:dyDescent="0.25"/>
    <row r="197" s="28" customFormat="1" ht="19.5" customHeight="1" x14ac:dyDescent="0.25"/>
    <row r="198" s="28" customFormat="1" ht="19.5" customHeight="1" x14ac:dyDescent="0.25"/>
    <row r="199" s="28" customFormat="1" ht="19.5" customHeight="1" x14ac:dyDescent="0.25"/>
    <row r="200" s="28" customFormat="1" ht="19.5" customHeight="1" x14ac:dyDescent="0.25"/>
    <row r="201" s="28" customFormat="1" ht="19.5" customHeight="1" x14ac:dyDescent="0.25"/>
    <row r="202" s="28" customFormat="1" ht="19.5" customHeight="1" x14ac:dyDescent="0.25"/>
    <row r="203" s="28" customFormat="1" ht="19.5" customHeight="1" x14ac:dyDescent="0.25"/>
    <row r="204" s="28" customFormat="1" ht="19.5" customHeight="1" x14ac:dyDescent="0.25"/>
    <row r="205" s="28" customFormat="1" ht="19.5" customHeight="1" x14ac:dyDescent="0.25"/>
    <row r="206" s="28" customFormat="1" ht="19.5" customHeight="1" x14ac:dyDescent="0.25"/>
    <row r="207" s="28" customFormat="1" ht="19.5" customHeight="1" x14ac:dyDescent="0.25"/>
    <row r="208" s="28" customFormat="1" ht="19.5" customHeight="1" x14ac:dyDescent="0.25"/>
    <row r="209" s="28" customFormat="1" ht="19.5" customHeight="1" x14ac:dyDescent="0.25"/>
    <row r="210" s="28" customFormat="1" ht="19.5" customHeight="1" x14ac:dyDescent="0.25"/>
    <row r="211" s="28" customFormat="1" ht="19.5" customHeight="1" x14ac:dyDescent="0.25"/>
    <row r="212" s="28" customFormat="1" ht="19.5" customHeight="1" x14ac:dyDescent="0.25"/>
    <row r="213" s="28" customFormat="1" ht="19.5" customHeight="1" x14ac:dyDescent="0.25"/>
    <row r="214" s="28" customFormat="1" ht="19.5" customHeight="1" x14ac:dyDescent="0.25"/>
    <row r="215" s="28" customFormat="1" ht="19.5" customHeight="1" x14ac:dyDescent="0.25"/>
    <row r="216" s="28" customFormat="1" ht="19.5" customHeight="1" x14ac:dyDescent="0.25"/>
    <row r="217" s="28" customFormat="1" ht="19.5" customHeight="1" x14ac:dyDescent="0.25"/>
    <row r="218" s="28" customFormat="1" ht="19.5" customHeight="1" x14ac:dyDescent="0.25"/>
    <row r="219" s="28" customFormat="1" ht="19.5" customHeight="1" x14ac:dyDescent="0.25"/>
    <row r="220" s="28" customFormat="1" ht="19.5" customHeight="1" x14ac:dyDescent="0.25"/>
    <row r="221" s="28" customFormat="1" ht="19.5" customHeight="1" x14ac:dyDescent="0.25"/>
    <row r="222" s="28" customFormat="1" ht="19.5" customHeight="1" x14ac:dyDescent="0.25"/>
    <row r="223" s="28" customFormat="1" ht="19.5" customHeight="1" x14ac:dyDescent="0.25"/>
    <row r="224" s="28" customFormat="1" ht="19.5" customHeight="1" x14ac:dyDescent="0.25"/>
    <row r="225" s="28" customFormat="1" ht="19.5" customHeight="1" x14ac:dyDescent="0.25"/>
    <row r="226" s="28" customFormat="1" ht="19.5" customHeight="1" x14ac:dyDescent="0.25"/>
    <row r="227" s="28" customFormat="1" ht="19.5" customHeight="1" x14ac:dyDescent="0.25"/>
    <row r="228" s="28" customFormat="1" ht="19.5" customHeight="1" x14ac:dyDescent="0.25"/>
    <row r="229" s="28" customFormat="1" ht="19.5" customHeight="1" x14ac:dyDescent="0.25"/>
    <row r="230" s="28" customFormat="1" ht="19.5" customHeight="1" x14ac:dyDescent="0.25"/>
    <row r="231" s="28" customFormat="1" ht="19.5" customHeight="1" x14ac:dyDescent="0.25"/>
    <row r="232" s="28" customFormat="1" ht="19.5" customHeight="1" x14ac:dyDescent="0.25"/>
    <row r="233" s="28" customFormat="1" ht="19.5" customHeight="1" x14ac:dyDescent="0.25"/>
    <row r="234" s="28" customFormat="1" ht="19.5" customHeight="1" x14ac:dyDescent="0.25"/>
    <row r="235" s="28" customFormat="1" ht="19.5" customHeight="1" x14ac:dyDescent="0.25"/>
    <row r="236" s="28" customFormat="1" ht="19.5" customHeight="1" x14ac:dyDescent="0.25"/>
    <row r="237" s="28" customFormat="1" ht="19.5" customHeight="1" x14ac:dyDescent="0.25"/>
    <row r="238" s="28" customFormat="1" ht="19.5" customHeight="1" x14ac:dyDescent="0.25"/>
    <row r="239" s="28" customFormat="1" ht="19.5" customHeight="1" x14ac:dyDescent="0.25"/>
    <row r="240" s="28" customFormat="1" ht="19.5" customHeight="1" x14ac:dyDescent="0.25"/>
    <row r="241" s="28" customFormat="1" ht="19.5" customHeight="1" x14ac:dyDescent="0.25"/>
    <row r="242" s="28" customFormat="1" ht="19.5" customHeight="1" x14ac:dyDescent="0.25"/>
    <row r="243" s="28" customFormat="1" ht="19.5" customHeight="1" x14ac:dyDescent="0.25"/>
    <row r="244" s="28" customFormat="1" ht="19.5" customHeight="1" x14ac:dyDescent="0.25"/>
    <row r="245" s="28" customFormat="1" ht="19.5" customHeight="1" x14ac:dyDescent="0.25"/>
    <row r="246" s="28" customFormat="1" ht="19.5" customHeight="1" x14ac:dyDescent="0.25"/>
    <row r="247" s="28" customFormat="1" ht="19.5" customHeight="1" x14ac:dyDescent="0.25"/>
    <row r="248" s="28" customFormat="1" ht="19.5" customHeight="1" x14ac:dyDescent="0.25"/>
    <row r="249" s="28" customFormat="1" ht="19.5" customHeight="1" x14ac:dyDescent="0.25"/>
    <row r="250" s="28" customFormat="1" ht="19.5" customHeight="1" x14ac:dyDescent="0.25"/>
    <row r="251" s="28" customFormat="1" ht="19.5" customHeight="1" x14ac:dyDescent="0.25"/>
    <row r="252" s="28" customFormat="1" ht="19.5" customHeight="1" x14ac:dyDescent="0.25"/>
    <row r="253" s="28" customFormat="1" ht="19.5" customHeight="1" x14ac:dyDescent="0.25"/>
    <row r="254" s="28" customFormat="1" ht="19.5" customHeight="1" x14ac:dyDescent="0.25"/>
    <row r="255" s="28" customFormat="1" ht="19.5" customHeight="1" x14ac:dyDescent="0.25"/>
    <row r="256" s="28" customFormat="1" ht="19.5" customHeight="1" x14ac:dyDescent="0.25"/>
    <row r="257" s="28" customFormat="1" ht="19.5" customHeight="1" x14ac:dyDescent="0.25"/>
    <row r="258" s="28" customFormat="1" ht="19.5" customHeight="1" x14ac:dyDescent="0.25"/>
    <row r="259" s="28" customFormat="1" ht="19.5" customHeight="1" x14ac:dyDescent="0.25"/>
    <row r="260" s="28" customFormat="1" ht="19.5" customHeight="1" x14ac:dyDescent="0.25"/>
    <row r="261" s="28" customFormat="1" ht="19.5" customHeight="1" x14ac:dyDescent="0.25"/>
    <row r="262" s="28" customFormat="1" ht="19.5" customHeight="1" x14ac:dyDescent="0.25"/>
    <row r="263" s="28" customFormat="1" ht="19.5" customHeight="1" x14ac:dyDescent="0.25"/>
    <row r="264" s="28" customFormat="1" ht="19.5" customHeight="1" x14ac:dyDescent="0.25"/>
    <row r="265" s="28" customFormat="1" ht="19.5" customHeight="1" x14ac:dyDescent="0.25"/>
    <row r="266" s="28" customFormat="1" ht="19.5" customHeight="1" x14ac:dyDescent="0.25"/>
    <row r="267" s="28" customFormat="1" ht="19.5" customHeight="1" x14ac:dyDescent="0.25"/>
    <row r="268" s="28" customFormat="1" ht="19.5" customHeight="1" x14ac:dyDescent="0.25"/>
    <row r="269" s="28" customFormat="1" ht="19.5" customHeight="1" x14ac:dyDescent="0.25"/>
    <row r="270" s="28" customFormat="1" ht="19.5" customHeight="1" x14ac:dyDescent="0.25"/>
    <row r="271" s="28" customFormat="1" ht="19.5" customHeight="1" x14ac:dyDescent="0.25"/>
    <row r="272" s="28" customFormat="1" ht="19.5" customHeight="1" x14ac:dyDescent="0.25"/>
    <row r="273" s="28" customFormat="1" ht="19.5" customHeight="1" x14ac:dyDescent="0.25"/>
    <row r="274" s="28" customFormat="1" ht="19.5" customHeight="1" x14ac:dyDescent="0.25"/>
    <row r="275" s="28" customFormat="1" ht="19.5" customHeight="1" x14ac:dyDescent="0.25"/>
    <row r="276" s="28" customFormat="1" ht="19.5" customHeight="1" x14ac:dyDescent="0.25"/>
    <row r="277" s="28" customFormat="1" ht="19.5" customHeight="1" x14ac:dyDescent="0.25"/>
    <row r="278" s="28" customFormat="1" ht="19.5" customHeight="1" x14ac:dyDescent="0.25"/>
    <row r="279" s="28" customFormat="1" ht="19.5" customHeight="1" x14ac:dyDescent="0.25"/>
    <row r="280" s="28" customFormat="1" ht="19.5" customHeight="1" x14ac:dyDescent="0.25"/>
    <row r="281" s="28" customFormat="1" ht="19.5" customHeight="1" x14ac:dyDescent="0.25"/>
    <row r="282" s="28" customFormat="1" ht="19.5" customHeight="1" x14ac:dyDescent="0.25"/>
    <row r="283" s="28" customFormat="1" ht="19.5" customHeight="1" x14ac:dyDescent="0.25"/>
    <row r="284" s="28" customFormat="1" ht="19.5" customHeight="1" x14ac:dyDescent="0.25"/>
    <row r="285" s="28" customFormat="1" ht="19.5" customHeight="1" x14ac:dyDescent="0.25"/>
    <row r="286" s="28" customFormat="1" ht="19.5" customHeight="1" x14ac:dyDescent="0.25"/>
    <row r="287" s="28" customFormat="1" ht="19.5" customHeight="1" x14ac:dyDescent="0.25"/>
  </sheetData>
  <autoFilter ref="A12:V104">
    <filterColumn colId="0" showButton="0"/>
    <filterColumn colId="1" showButton="0"/>
    <filterColumn colId="2" showButton="0"/>
  </autoFilter>
  <mergeCells count="141">
    <mergeCell ref="A127:N127"/>
    <mergeCell ref="A121:N121"/>
    <mergeCell ref="A122:N122"/>
    <mergeCell ref="A123:J123"/>
    <mergeCell ref="A124:N124"/>
    <mergeCell ref="A125:N125"/>
    <mergeCell ref="A126:N126"/>
    <mergeCell ref="A115:N115"/>
    <mergeCell ref="A116:N116"/>
    <mergeCell ref="A117:N117"/>
    <mergeCell ref="A118:N118"/>
    <mergeCell ref="A119:N119"/>
    <mergeCell ref="A120:N120"/>
    <mergeCell ref="C112:D112"/>
    <mergeCell ref="F112:G112"/>
    <mergeCell ref="H112:I112"/>
    <mergeCell ref="K112:L112"/>
    <mergeCell ref="B113:C113"/>
    <mergeCell ref="A114:N114"/>
    <mergeCell ref="K107:L107"/>
    <mergeCell ref="C109:D109"/>
    <mergeCell ref="F109:G109"/>
    <mergeCell ref="H109:I109"/>
    <mergeCell ref="K109:L109"/>
    <mergeCell ref="B110:C110"/>
    <mergeCell ref="A102:D102"/>
    <mergeCell ref="A103:D103"/>
    <mergeCell ref="A104:D104"/>
    <mergeCell ref="C107:D107"/>
    <mergeCell ref="F107:G107"/>
    <mergeCell ref="H107:I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69:D69"/>
    <mergeCell ref="A70:D70"/>
    <mergeCell ref="A74:D74"/>
    <mergeCell ref="A75:D75"/>
    <mergeCell ref="A76:D76"/>
    <mergeCell ref="A77:D77"/>
    <mergeCell ref="A71:D71"/>
    <mergeCell ref="A72:D72"/>
    <mergeCell ref="A73:D73"/>
    <mergeCell ref="A63:D63"/>
    <mergeCell ref="A64:D64"/>
    <mergeCell ref="A65:D65"/>
    <mergeCell ref="A66:D66"/>
    <mergeCell ref="A67:D67"/>
    <mergeCell ref="A68:D68"/>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30:D30"/>
    <mergeCell ref="A31:D31"/>
    <mergeCell ref="A32:D32"/>
    <mergeCell ref="A29:D29"/>
    <mergeCell ref="A20:D20"/>
    <mergeCell ref="A21:D21"/>
    <mergeCell ref="A22:D22"/>
    <mergeCell ref="A23:D23"/>
    <mergeCell ref="A24:D24"/>
    <mergeCell ref="A25:D25"/>
    <mergeCell ref="A15:D15"/>
    <mergeCell ref="A16:D16"/>
    <mergeCell ref="A17:D17"/>
    <mergeCell ref="A18:D18"/>
    <mergeCell ref="A19:D19"/>
    <mergeCell ref="K9:M9"/>
    <mergeCell ref="N9:P9"/>
    <mergeCell ref="Q9:S9"/>
    <mergeCell ref="A26:D26"/>
    <mergeCell ref="A12:D12"/>
    <mergeCell ref="A13:D13"/>
    <mergeCell ref="Q7:S7"/>
    <mergeCell ref="T7:V7"/>
    <mergeCell ref="K8:M8"/>
    <mergeCell ref="N8:P8"/>
    <mergeCell ref="Q8:S8"/>
    <mergeCell ref="T8:V8"/>
    <mergeCell ref="A14:D14"/>
    <mergeCell ref="A3:N3"/>
    <mergeCell ref="A5:P5"/>
    <mergeCell ref="A6:D11"/>
    <mergeCell ref="E6:E11"/>
    <mergeCell ref="F6:F11"/>
    <mergeCell ref="G6:G11"/>
    <mergeCell ref="H6:V6"/>
    <mergeCell ref="H7:J9"/>
    <mergeCell ref="K7:M7"/>
    <mergeCell ref="N7:P7"/>
    <mergeCell ref="T9:V9"/>
  </mergeCells>
  <printOptions horizontalCentered="1"/>
  <pageMargins left="0.47244094488188981" right="0.27559055118110237" top="0.39370078740157483" bottom="0.23622047244094491" header="0.43307086614173229" footer="0.51181102362204722"/>
  <pageSetup paperSize="9" scale="4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R283"/>
  <sheetViews>
    <sheetView view="pageBreakPreview" topLeftCell="A5" zoomScale="120" zoomScaleSheetLayoutView="120" workbookViewId="0">
      <pane ySplit="7" topLeftCell="A117" activePane="bottomLeft" state="frozen"/>
      <selection activeCell="A5" sqref="A5"/>
      <selection pane="bottomLeft" activeCell="A74" sqref="A74:D74"/>
    </sheetView>
  </sheetViews>
  <sheetFormatPr defaultRowHeight="19.5" customHeight="1" x14ac:dyDescent="0.25"/>
  <cols>
    <col min="1" max="1" width="9.140625" style="7"/>
    <col min="2" max="2" width="6.42578125" style="7" customWidth="1"/>
    <col min="3" max="3" width="8.85546875" style="7" customWidth="1"/>
    <col min="4" max="4" width="9.140625" style="7" customWidth="1"/>
    <col min="5" max="5" width="7.140625" style="7" customWidth="1"/>
    <col min="6" max="6" width="13.42578125" style="7" customWidth="1"/>
    <col min="7" max="7" width="11.28515625" style="7" customWidth="1"/>
    <col min="8" max="8" width="13.140625" style="7" customWidth="1"/>
    <col min="9" max="9" width="13.85546875" style="7" customWidth="1"/>
    <col min="10" max="10" width="12.28515625" style="7" customWidth="1"/>
    <col min="11" max="11" width="13.28515625" style="7" customWidth="1"/>
    <col min="12" max="12" width="14.5703125" style="7" customWidth="1"/>
    <col min="13" max="13" width="15.42578125" style="7" customWidth="1"/>
    <col min="14" max="14" width="14.42578125" style="7" customWidth="1"/>
    <col min="15" max="16" width="14.140625" style="7" customWidth="1"/>
    <col min="17" max="17" width="12.7109375" style="7" customWidth="1"/>
    <col min="18" max="18" width="14" style="7" customWidth="1"/>
    <col min="19" max="19" width="14.140625" style="7" customWidth="1"/>
    <col min="20" max="20" width="16.42578125" style="7" customWidth="1"/>
    <col min="21" max="21" width="16.28515625" style="7" customWidth="1"/>
    <col min="22" max="22" width="15.7109375" style="7" customWidth="1"/>
    <col min="23" max="16384" width="9.140625" style="7"/>
  </cols>
  <sheetData>
    <row r="1" spans="1:75" ht="19.5" customHeight="1" x14ac:dyDescent="0.3">
      <c r="A1" s="39" t="s">
        <v>44</v>
      </c>
    </row>
    <row r="3" spans="1:75" ht="20.25" customHeight="1" x14ac:dyDescent="0.3">
      <c r="A3" s="531" t="s">
        <v>253</v>
      </c>
      <c r="B3" s="531"/>
      <c r="C3" s="531"/>
      <c r="D3" s="531"/>
      <c r="E3" s="531"/>
      <c r="F3" s="531"/>
      <c r="G3" s="531"/>
      <c r="H3" s="531"/>
      <c r="I3" s="531"/>
      <c r="J3" s="531"/>
      <c r="K3" s="531"/>
      <c r="L3" s="531"/>
      <c r="M3" s="531"/>
      <c r="N3" s="531"/>
      <c r="O3" s="531"/>
      <c r="P3" s="531"/>
    </row>
    <row r="4" spans="1:75" ht="24" customHeight="1" x14ac:dyDescent="0.3">
      <c r="A4" s="73"/>
      <c r="B4" s="73"/>
      <c r="C4" s="73"/>
      <c r="D4" s="73"/>
      <c r="E4" s="73"/>
      <c r="F4" s="73"/>
      <c r="G4" s="73"/>
      <c r="H4" s="73"/>
      <c r="I4" s="73"/>
      <c r="J4" s="73"/>
      <c r="K4" s="73"/>
      <c r="L4" s="73"/>
      <c r="M4" s="73"/>
      <c r="N4" s="73"/>
      <c r="O4" s="73"/>
      <c r="P4" s="73"/>
    </row>
    <row r="5" spans="1:75" ht="25.5" customHeight="1" thickBot="1" x14ac:dyDescent="0.3">
      <c r="A5" s="532"/>
      <c r="B5" s="532"/>
      <c r="C5" s="532"/>
      <c r="D5" s="532"/>
      <c r="E5" s="532"/>
      <c r="F5" s="532"/>
      <c r="G5" s="532"/>
      <c r="H5" s="532"/>
      <c r="I5" s="532"/>
      <c r="J5" s="532"/>
      <c r="K5" s="532"/>
      <c r="L5" s="532"/>
      <c r="M5" s="532"/>
      <c r="N5" s="532"/>
      <c r="O5" s="532"/>
      <c r="P5" s="532"/>
    </row>
    <row r="6" spans="1:75" ht="19.5" customHeight="1" thickBot="1" x14ac:dyDescent="0.3">
      <c r="A6" s="475" t="s">
        <v>2</v>
      </c>
      <c r="B6" s="476"/>
      <c r="C6" s="476"/>
      <c r="D6" s="477"/>
      <c r="E6" s="533" t="s">
        <v>27</v>
      </c>
      <c r="F6" s="533" t="s">
        <v>104</v>
      </c>
      <c r="G6" s="533" t="s">
        <v>103</v>
      </c>
      <c r="H6" s="525" t="s">
        <v>243</v>
      </c>
      <c r="I6" s="526"/>
      <c r="J6" s="526"/>
      <c r="K6" s="526"/>
      <c r="L6" s="526"/>
      <c r="M6" s="526"/>
      <c r="N6" s="526"/>
      <c r="O6" s="526"/>
      <c r="P6" s="526"/>
      <c r="Q6" s="526"/>
      <c r="R6" s="526"/>
      <c r="S6" s="526"/>
      <c r="T6" s="526"/>
      <c r="U6" s="526"/>
      <c r="V6" s="527"/>
    </row>
    <row r="7" spans="1:75" ht="19.5" customHeight="1" thickBot="1" x14ac:dyDescent="0.3">
      <c r="A7" s="478"/>
      <c r="B7" s="479"/>
      <c r="C7" s="479"/>
      <c r="D7" s="480"/>
      <c r="E7" s="534"/>
      <c r="F7" s="534"/>
      <c r="G7" s="534"/>
      <c r="H7" s="536" t="s">
        <v>241</v>
      </c>
      <c r="I7" s="537"/>
      <c r="J7" s="538"/>
      <c r="K7" s="525" t="s">
        <v>247</v>
      </c>
      <c r="L7" s="526"/>
      <c r="M7" s="527"/>
      <c r="N7" s="525" t="s">
        <v>247</v>
      </c>
      <c r="O7" s="526"/>
      <c r="P7" s="527"/>
      <c r="Q7" s="525" t="s">
        <v>247</v>
      </c>
      <c r="R7" s="526"/>
      <c r="S7" s="527"/>
      <c r="T7" s="525" t="s">
        <v>247</v>
      </c>
      <c r="U7" s="526"/>
      <c r="V7" s="527"/>
    </row>
    <row r="8" spans="1:75" ht="19.5" customHeight="1" thickBot="1" x14ac:dyDescent="0.3">
      <c r="A8" s="478"/>
      <c r="B8" s="479"/>
      <c r="C8" s="479"/>
      <c r="D8" s="480"/>
      <c r="E8" s="534"/>
      <c r="F8" s="534"/>
      <c r="G8" s="534"/>
      <c r="H8" s="539"/>
      <c r="I8" s="540"/>
      <c r="J8" s="541"/>
      <c r="K8" s="528" t="s">
        <v>291</v>
      </c>
      <c r="L8" s="529"/>
      <c r="M8" s="530"/>
      <c r="N8" s="528" t="s">
        <v>293</v>
      </c>
      <c r="O8" s="529"/>
      <c r="P8" s="530"/>
      <c r="Q8" s="528" t="s">
        <v>294</v>
      </c>
      <c r="R8" s="529"/>
      <c r="S8" s="530"/>
      <c r="T8" s="528" t="s">
        <v>285</v>
      </c>
      <c r="U8" s="529"/>
      <c r="V8" s="530"/>
    </row>
    <row r="9" spans="1:75" ht="48" customHeight="1" thickBot="1" x14ac:dyDescent="0.3">
      <c r="A9" s="478"/>
      <c r="B9" s="479"/>
      <c r="C9" s="479"/>
      <c r="D9" s="480"/>
      <c r="E9" s="534"/>
      <c r="F9" s="534"/>
      <c r="G9" s="534"/>
      <c r="H9" s="542"/>
      <c r="I9" s="543"/>
      <c r="J9" s="544"/>
      <c r="K9" s="548" t="s">
        <v>292</v>
      </c>
      <c r="L9" s="549"/>
      <c r="M9" s="550"/>
      <c r="N9" s="551" t="s">
        <v>284</v>
      </c>
      <c r="O9" s="552"/>
      <c r="P9" s="553"/>
      <c r="Q9" s="554" t="s">
        <v>295</v>
      </c>
      <c r="R9" s="555"/>
      <c r="S9" s="556"/>
      <c r="T9" s="545" t="s">
        <v>296</v>
      </c>
      <c r="U9" s="546"/>
      <c r="V9" s="547"/>
    </row>
    <row r="10" spans="1:75" ht="18.75" customHeight="1" x14ac:dyDescent="0.25">
      <c r="A10" s="478"/>
      <c r="B10" s="479"/>
      <c r="C10" s="479"/>
      <c r="D10" s="480"/>
      <c r="E10" s="534"/>
      <c r="F10" s="534"/>
      <c r="G10" s="534"/>
      <c r="H10" s="67" t="s">
        <v>274</v>
      </c>
      <c r="I10" s="67" t="s">
        <v>275</v>
      </c>
      <c r="J10" s="67" t="s">
        <v>276</v>
      </c>
      <c r="K10" s="67" t="s">
        <v>274</v>
      </c>
      <c r="L10" s="67" t="s">
        <v>275</v>
      </c>
      <c r="M10" s="67" t="s">
        <v>276</v>
      </c>
      <c r="N10" s="67" t="s">
        <v>274</v>
      </c>
      <c r="O10" s="67" t="s">
        <v>275</v>
      </c>
      <c r="P10" s="67" t="s">
        <v>276</v>
      </c>
      <c r="Q10" s="67" t="s">
        <v>274</v>
      </c>
      <c r="R10" s="67" t="s">
        <v>275</v>
      </c>
      <c r="S10" s="67" t="s">
        <v>276</v>
      </c>
      <c r="T10" s="67" t="s">
        <v>274</v>
      </c>
      <c r="U10" s="67" t="s">
        <v>275</v>
      </c>
      <c r="V10" s="67" t="s">
        <v>276</v>
      </c>
    </row>
    <row r="11" spans="1:75" ht="44.25" customHeight="1" thickBot="1" x14ac:dyDescent="0.3">
      <c r="A11" s="481"/>
      <c r="B11" s="482"/>
      <c r="C11" s="482"/>
      <c r="D11" s="483"/>
      <c r="E11" s="535"/>
      <c r="F11" s="535"/>
      <c r="G11" s="535"/>
      <c r="H11" s="68" t="s">
        <v>39</v>
      </c>
      <c r="I11" s="68" t="s">
        <v>101</v>
      </c>
      <c r="J11" s="68" t="s">
        <v>102</v>
      </c>
      <c r="K11" s="68" t="s">
        <v>39</v>
      </c>
      <c r="L11" s="68" t="s">
        <v>101</v>
      </c>
      <c r="M11" s="68" t="s">
        <v>102</v>
      </c>
      <c r="N11" s="68" t="s">
        <v>39</v>
      </c>
      <c r="O11" s="68" t="s">
        <v>101</v>
      </c>
      <c r="P11" s="68" t="s">
        <v>102</v>
      </c>
      <c r="Q11" s="68" t="s">
        <v>39</v>
      </c>
      <c r="R11" s="68" t="s">
        <v>101</v>
      </c>
      <c r="S11" s="68" t="s">
        <v>102</v>
      </c>
      <c r="T11" s="68" t="s">
        <v>39</v>
      </c>
      <c r="U11" s="68" t="s">
        <v>101</v>
      </c>
      <c r="V11" s="68" t="s">
        <v>102</v>
      </c>
    </row>
    <row r="12" spans="1:75" ht="13.5" customHeight="1" thickBot="1" x14ac:dyDescent="0.3">
      <c r="A12" s="257">
        <v>1</v>
      </c>
      <c r="B12" s="258"/>
      <c r="C12" s="258"/>
      <c r="D12" s="259"/>
      <c r="E12" s="82">
        <v>2</v>
      </c>
      <c r="F12" s="82">
        <v>3</v>
      </c>
      <c r="G12" s="83">
        <v>4</v>
      </c>
      <c r="H12" s="83">
        <v>5</v>
      </c>
      <c r="I12" s="83">
        <v>6</v>
      </c>
      <c r="J12" s="83">
        <v>7</v>
      </c>
      <c r="K12" s="83">
        <v>8</v>
      </c>
      <c r="L12" s="83">
        <v>9</v>
      </c>
      <c r="M12" s="83">
        <v>10</v>
      </c>
      <c r="N12" s="83">
        <v>11</v>
      </c>
      <c r="O12" s="83">
        <v>12</v>
      </c>
      <c r="P12" s="83">
        <v>13</v>
      </c>
      <c r="Q12" s="83">
        <v>14</v>
      </c>
      <c r="R12" s="83">
        <v>15</v>
      </c>
      <c r="S12" s="83">
        <v>16</v>
      </c>
      <c r="T12" s="83">
        <v>17</v>
      </c>
      <c r="U12" s="83">
        <v>18</v>
      </c>
      <c r="V12" s="83">
        <v>19</v>
      </c>
    </row>
    <row r="13" spans="1:75" s="28" customFormat="1" ht="30" customHeight="1" x14ac:dyDescent="0.25">
      <c r="A13" s="472" t="s">
        <v>244</v>
      </c>
      <c r="B13" s="472"/>
      <c r="C13" s="472"/>
      <c r="D13" s="472"/>
      <c r="E13" s="86" t="s">
        <v>28</v>
      </c>
      <c r="F13" s="86" t="s">
        <v>9</v>
      </c>
      <c r="G13" s="86" t="s">
        <v>9</v>
      </c>
      <c r="H13" s="111">
        <f>K13+N13+Q13+T13</f>
        <v>0</v>
      </c>
      <c r="I13" s="111">
        <f>L13+O13+R13+U13</f>
        <v>0</v>
      </c>
      <c r="J13" s="111">
        <f>M13+P13+S13+V13</f>
        <v>0</v>
      </c>
      <c r="K13" s="111"/>
      <c r="L13" s="111"/>
      <c r="M13" s="112"/>
      <c r="N13" s="112"/>
      <c r="O13" s="112"/>
      <c r="P13" s="112"/>
      <c r="Q13" s="112"/>
      <c r="R13" s="112"/>
      <c r="S13" s="112"/>
      <c r="T13" s="112"/>
      <c r="U13" s="112"/>
      <c r="V13" s="112"/>
    </row>
    <row r="14" spans="1:75" s="28" customFormat="1" ht="21" customHeight="1" x14ac:dyDescent="0.25">
      <c r="A14" s="472" t="s">
        <v>254</v>
      </c>
      <c r="B14" s="472"/>
      <c r="C14" s="472"/>
      <c r="D14" s="472"/>
      <c r="E14" s="86" t="s">
        <v>160</v>
      </c>
      <c r="F14" s="87" t="s">
        <v>9</v>
      </c>
      <c r="G14" s="87" t="s">
        <v>9</v>
      </c>
      <c r="H14" s="111">
        <f t="shared" ref="H14:J96" si="0">K14+N14+Q14+T14</f>
        <v>0</v>
      </c>
      <c r="I14" s="111">
        <f t="shared" si="0"/>
        <v>0</v>
      </c>
      <c r="J14" s="111">
        <f t="shared" si="0"/>
        <v>0</v>
      </c>
      <c r="K14" s="115"/>
      <c r="L14" s="115"/>
      <c r="M14" s="115"/>
      <c r="N14" s="115"/>
      <c r="O14" s="115"/>
      <c r="P14" s="115"/>
      <c r="Q14" s="115"/>
      <c r="R14" s="115"/>
      <c r="S14" s="115"/>
      <c r="T14" s="115"/>
      <c r="U14" s="115"/>
      <c r="V14" s="115"/>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s="28" customFormat="1" ht="15.75" customHeight="1" x14ac:dyDescent="0.25">
      <c r="A15" s="472" t="s">
        <v>105</v>
      </c>
      <c r="B15" s="472"/>
      <c r="C15" s="472"/>
      <c r="D15" s="472"/>
      <c r="E15" s="86">
        <v>1000</v>
      </c>
      <c r="F15" s="85"/>
      <c r="G15" s="85"/>
      <c r="H15" s="117">
        <f t="shared" si="0"/>
        <v>0</v>
      </c>
      <c r="I15" s="117">
        <f t="shared" si="0"/>
        <v>0</v>
      </c>
      <c r="J15" s="117">
        <f t="shared" si="0"/>
        <v>0</v>
      </c>
      <c r="K15" s="117">
        <f>K16+K19+K20+K21</f>
        <v>0</v>
      </c>
      <c r="L15" s="117">
        <f t="shared" ref="L15:V15" si="1">L16+L19+L20+L21</f>
        <v>0</v>
      </c>
      <c r="M15" s="117">
        <f t="shared" si="1"/>
        <v>0</v>
      </c>
      <c r="N15" s="117">
        <f t="shared" si="1"/>
        <v>0</v>
      </c>
      <c r="O15" s="117">
        <f t="shared" si="1"/>
        <v>0</v>
      </c>
      <c r="P15" s="117">
        <f t="shared" si="1"/>
        <v>0</v>
      </c>
      <c r="Q15" s="117">
        <f t="shared" si="1"/>
        <v>0</v>
      </c>
      <c r="R15" s="117">
        <f t="shared" si="1"/>
        <v>0</v>
      </c>
      <c r="S15" s="117">
        <f t="shared" si="1"/>
        <v>0</v>
      </c>
      <c r="T15" s="117">
        <f t="shared" si="1"/>
        <v>0</v>
      </c>
      <c r="U15" s="117">
        <f t="shared" si="1"/>
        <v>0</v>
      </c>
      <c r="V15" s="117">
        <f t="shared" si="1"/>
        <v>0</v>
      </c>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row>
    <row r="16" spans="1:75" s="28" customFormat="1" ht="14.25" customHeight="1" x14ac:dyDescent="0.25">
      <c r="A16" s="319" t="s">
        <v>106</v>
      </c>
      <c r="B16" s="319"/>
      <c r="C16" s="319"/>
      <c r="D16" s="319"/>
      <c r="E16" s="81">
        <v>1100</v>
      </c>
      <c r="F16" s="84">
        <v>120</v>
      </c>
      <c r="G16" s="84"/>
      <c r="H16" s="115">
        <f t="shared" si="0"/>
        <v>0</v>
      </c>
      <c r="I16" s="115">
        <f t="shared" si="0"/>
        <v>0</v>
      </c>
      <c r="J16" s="115">
        <f t="shared" si="0"/>
        <v>0</v>
      </c>
      <c r="K16" s="115"/>
      <c r="L16" s="115"/>
      <c r="M16" s="115"/>
      <c r="N16" s="115"/>
      <c r="O16" s="115"/>
      <c r="P16" s="115"/>
      <c r="Q16" s="115"/>
      <c r="R16" s="115"/>
      <c r="S16" s="115"/>
      <c r="T16" s="115"/>
      <c r="U16" s="115"/>
      <c r="V16" s="115"/>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1:75" s="28" customFormat="1" ht="15.75" customHeight="1" x14ac:dyDescent="0.25">
      <c r="A17" s="319" t="s">
        <v>24</v>
      </c>
      <c r="B17" s="319"/>
      <c r="C17" s="319"/>
      <c r="D17" s="319"/>
      <c r="E17" s="76"/>
      <c r="F17" s="76"/>
      <c r="G17" s="84"/>
      <c r="H17" s="115">
        <f t="shared" si="0"/>
        <v>0</v>
      </c>
      <c r="I17" s="115">
        <f t="shared" si="0"/>
        <v>0</v>
      </c>
      <c r="J17" s="115">
        <f t="shared" si="0"/>
        <v>0</v>
      </c>
      <c r="K17" s="115"/>
      <c r="L17" s="115"/>
      <c r="M17" s="115"/>
      <c r="N17" s="115"/>
      <c r="O17" s="115"/>
      <c r="P17" s="115"/>
      <c r="Q17" s="115"/>
      <c r="R17" s="115"/>
      <c r="S17" s="115"/>
      <c r="T17" s="115"/>
      <c r="U17" s="115"/>
      <c r="V17" s="115"/>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1:75" s="28" customFormat="1" ht="15" customHeight="1" x14ac:dyDescent="0.25">
      <c r="A18" s="319"/>
      <c r="B18" s="319"/>
      <c r="C18" s="319"/>
      <c r="D18" s="319"/>
      <c r="E18" s="81">
        <v>1110</v>
      </c>
      <c r="F18" s="84">
        <v>120</v>
      </c>
      <c r="G18" s="84"/>
      <c r="H18" s="115">
        <f t="shared" si="0"/>
        <v>0</v>
      </c>
      <c r="I18" s="115">
        <f t="shared" si="0"/>
        <v>0</v>
      </c>
      <c r="J18" s="115">
        <f t="shared" si="0"/>
        <v>0</v>
      </c>
      <c r="K18" s="115"/>
      <c r="L18" s="115"/>
      <c r="M18" s="115"/>
      <c r="N18" s="115"/>
      <c r="O18" s="115"/>
      <c r="P18" s="115"/>
      <c r="Q18" s="115"/>
      <c r="R18" s="115"/>
      <c r="S18" s="115"/>
      <c r="T18" s="115"/>
      <c r="U18" s="115"/>
      <c r="V18" s="115"/>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1:75" s="28" customFormat="1" ht="33" customHeight="1" x14ac:dyDescent="0.25">
      <c r="A19" s="319" t="s">
        <v>107</v>
      </c>
      <c r="B19" s="319"/>
      <c r="C19" s="319"/>
      <c r="D19" s="319"/>
      <c r="E19" s="81">
        <v>1200</v>
      </c>
      <c r="F19" s="84">
        <v>130</v>
      </c>
      <c r="G19" s="84"/>
      <c r="H19" s="115">
        <f t="shared" si="0"/>
        <v>0</v>
      </c>
      <c r="I19" s="115">
        <f t="shared" si="0"/>
        <v>0</v>
      </c>
      <c r="J19" s="115">
        <f t="shared" si="0"/>
        <v>0</v>
      </c>
      <c r="K19" s="115"/>
      <c r="L19" s="115"/>
      <c r="M19" s="115"/>
      <c r="N19" s="115"/>
      <c r="O19" s="115"/>
      <c r="P19" s="115"/>
      <c r="Q19" s="115"/>
      <c r="R19" s="115"/>
      <c r="S19" s="115"/>
      <c r="T19" s="115"/>
      <c r="U19" s="115"/>
      <c r="V19" s="115"/>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row>
    <row r="20" spans="1:75" s="28" customFormat="1" ht="61.5" customHeight="1" x14ac:dyDescent="0.25">
      <c r="A20" s="319" t="s">
        <v>261</v>
      </c>
      <c r="B20" s="319"/>
      <c r="C20" s="319"/>
      <c r="D20" s="319"/>
      <c r="E20" s="81">
        <v>1210</v>
      </c>
      <c r="F20" s="84">
        <v>130</v>
      </c>
      <c r="G20" s="84"/>
      <c r="H20" s="115">
        <f t="shared" si="0"/>
        <v>0</v>
      </c>
      <c r="I20" s="115">
        <f t="shared" si="0"/>
        <v>0</v>
      </c>
      <c r="J20" s="115">
        <f t="shared" si="0"/>
        <v>0</v>
      </c>
      <c r="K20" s="115"/>
      <c r="L20" s="115"/>
      <c r="M20" s="115"/>
      <c r="N20" s="115"/>
      <c r="O20" s="115"/>
      <c r="P20" s="115"/>
      <c r="Q20" s="115"/>
      <c r="R20" s="115"/>
      <c r="S20" s="115"/>
      <c r="T20" s="115"/>
      <c r="U20" s="115"/>
      <c r="V20" s="115"/>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row>
    <row r="21" spans="1:75" s="28" customFormat="1" ht="50.25" customHeight="1" x14ac:dyDescent="0.25">
      <c r="A21" s="319" t="s">
        <v>262</v>
      </c>
      <c r="B21" s="319"/>
      <c r="C21" s="319"/>
      <c r="D21" s="319"/>
      <c r="E21" s="81">
        <v>1220</v>
      </c>
      <c r="F21" s="84">
        <v>130</v>
      </c>
      <c r="G21" s="84"/>
      <c r="H21" s="115">
        <f t="shared" si="0"/>
        <v>0</v>
      </c>
      <c r="I21" s="115">
        <f t="shared" si="0"/>
        <v>0</v>
      </c>
      <c r="J21" s="115">
        <f t="shared" si="0"/>
        <v>0</v>
      </c>
      <c r="K21" s="115"/>
      <c r="L21" s="115"/>
      <c r="M21" s="115"/>
      <c r="N21" s="115"/>
      <c r="O21" s="115"/>
      <c r="P21" s="115"/>
      <c r="Q21" s="115"/>
      <c r="R21" s="115"/>
      <c r="S21" s="115"/>
      <c r="T21" s="115"/>
      <c r="U21" s="115"/>
      <c r="V21" s="115"/>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row>
    <row r="22" spans="1:75" s="28" customFormat="1" ht="11.1" customHeight="1" x14ac:dyDescent="0.25">
      <c r="A22" s="319"/>
      <c r="B22" s="319"/>
      <c r="C22" s="319"/>
      <c r="D22" s="319"/>
      <c r="E22" s="76"/>
      <c r="F22" s="76"/>
      <c r="G22" s="84"/>
      <c r="H22" s="115">
        <f t="shared" si="0"/>
        <v>0</v>
      </c>
      <c r="I22" s="115">
        <f t="shared" si="0"/>
        <v>0</v>
      </c>
      <c r="J22" s="115">
        <f t="shared" si="0"/>
        <v>0</v>
      </c>
      <c r="K22" s="115"/>
      <c r="L22" s="115"/>
      <c r="M22" s="115"/>
      <c r="N22" s="115"/>
      <c r="O22" s="115"/>
      <c r="P22" s="115"/>
      <c r="Q22" s="115"/>
      <c r="R22" s="115"/>
      <c r="S22" s="115"/>
      <c r="T22" s="115"/>
      <c r="U22" s="115"/>
      <c r="V22" s="115"/>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row>
    <row r="23" spans="1:75" s="28" customFormat="1" ht="26.25" customHeight="1" x14ac:dyDescent="0.25">
      <c r="A23" s="319" t="s">
        <v>108</v>
      </c>
      <c r="B23" s="319"/>
      <c r="C23" s="319"/>
      <c r="D23" s="319"/>
      <c r="E23" s="81">
        <v>1300</v>
      </c>
      <c r="F23" s="84">
        <v>140</v>
      </c>
      <c r="G23" s="84"/>
      <c r="H23" s="115">
        <f t="shared" si="0"/>
        <v>0</v>
      </c>
      <c r="I23" s="115">
        <f t="shared" si="0"/>
        <v>0</v>
      </c>
      <c r="J23" s="115">
        <f t="shared" si="0"/>
        <v>0</v>
      </c>
      <c r="K23" s="115"/>
      <c r="L23" s="115"/>
      <c r="M23" s="115"/>
      <c r="N23" s="115"/>
      <c r="O23" s="115"/>
      <c r="P23" s="115"/>
      <c r="Q23" s="115"/>
      <c r="R23" s="115"/>
      <c r="S23" s="115"/>
      <c r="T23" s="115"/>
      <c r="U23" s="115"/>
      <c r="V23" s="115"/>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row>
    <row r="24" spans="1:75" s="28" customFormat="1" ht="11.1" customHeight="1" x14ac:dyDescent="0.25">
      <c r="A24" s="319" t="s">
        <v>24</v>
      </c>
      <c r="B24" s="319"/>
      <c r="C24" s="319"/>
      <c r="D24" s="319"/>
      <c r="E24" s="76"/>
      <c r="F24" s="84"/>
      <c r="G24" s="84"/>
      <c r="H24" s="115">
        <f t="shared" si="0"/>
        <v>0</v>
      </c>
      <c r="I24" s="115">
        <f t="shared" si="0"/>
        <v>0</v>
      </c>
      <c r="J24" s="115">
        <f t="shared" si="0"/>
        <v>0</v>
      </c>
      <c r="K24" s="115"/>
      <c r="L24" s="115"/>
      <c r="M24" s="115"/>
      <c r="N24" s="115"/>
      <c r="O24" s="115"/>
      <c r="P24" s="115"/>
      <c r="Q24" s="115"/>
      <c r="R24" s="115"/>
      <c r="S24" s="115"/>
      <c r="T24" s="115"/>
      <c r="U24" s="115"/>
      <c r="V24" s="115"/>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row>
    <row r="25" spans="1:75" s="28" customFormat="1" ht="13.5" customHeight="1" x14ac:dyDescent="0.25">
      <c r="A25" s="319"/>
      <c r="B25" s="319"/>
      <c r="C25" s="319"/>
      <c r="D25" s="319"/>
      <c r="E25" s="81">
        <v>1310</v>
      </c>
      <c r="F25" s="84">
        <v>140</v>
      </c>
      <c r="G25" s="84"/>
      <c r="H25" s="115">
        <f t="shared" si="0"/>
        <v>0</v>
      </c>
      <c r="I25" s="115">
        <f t="shared" si="0"/>
        <v>0</v>
      </c>
      <c r="J25" s="115">
        <f t="shared" si="0"/>
        <v>0</v>
      </c>
      <c r="K25" s="115"/>
      <c r="L25" s="115"/>
      <c r="M25" s="115"/>
      <c r="N25" s="115"/>
      <c r="O25" s="115"/>
      <c r="P25" s="115"/>
      <c r="Q25" s="115"/>
      <c r="R25" s="115"/>
      <c r="S25" s="115"/>
      <c r="T25" s="115"/>
      <c r="U25" s="115"/>
      <c r="V25" s="115"/>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row>
    <row r="26" spans="1:75" s="28" customFormat="1" ht="14.25" customHeight="1" x14ac:dyDescent="0.25">
      <c r="A26" s="319" t="s">
        <v>109</v>
      </c>
      <c r="B26" s="319"/>
      <c r="C26" s="319"/>
      <c r="D26" s="319"/>
      <c r="E26" s="81">
        <v>1400</v>
      </c>
      <c r="F26" s="84">
        <v>150</v>
      </c>
      <c r="G26" s="84"/>
      <c r="H26" s="115">
        <f t="shared" si="0"/>
        <v>0</v>
      </c>
      <c r="I26" s="115">
        <f t="shared" si="0"/>
        <v>0</v>
      </c>
      <c r="J26" s="115">
        <f t="shared" si="0"/>
        <v>0</v>
      </c>
      <c r="K26" s="115"/>
      <c r="L26" s="115"/>
      <c r="M26" s="115"/>
      <c r="N26" s="115"/>
      <c r="O26" s="115"/>
      <c r="P26" s="115"/>
      <c r="Q26" s="115"/>
      <c r="R26" s="115"/>
      <c r="S26" s="115"/>
      <c r="T26" s="115"/>
      <c r="U26" s="115"/>
      <c r="V26" s="115"/>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row>
    <row r="27" spans="1:75" s="28" customFormat="1" ht="11.1" customHeight="1" x14ac:dyDescent="0.25">
      <c r="A27" s="319" t="s">
        <v>24</v>
      </c>
      <c r="B27" s="319"/>
      <c r="C27" s="319"/>
      <c r="D27" s="319"/>
      <c r="E27" s="76"/>
      <c r="F27" s="76"/>
      <c r="G27" s="84"/>
      <c r="H27" s="115">
        <f t="shared" si="0"/>
        <v>0</v>
      </c>
      <c r="I27" s="115">
        <f t="shared" si="0"/>
        <v>0</v>
      </c>
      <c r="J27" s="115">
        <f t="shared" si="0"/>
        <v>0</v>
      </c>
      <c r="K27" s="115"/>
      <c r="L27" s="115"/>
      <c r="M27" s="115"/>
      <c r="N27" s="115"/>
      <c r="O27" s="115"/>
      <c r="P27" s="115"/>
      <c r="Q27" s="115"/>
      <c r="R27" s="115"/>
      <c r="S27" s="115"/>
      <c r="T27" s="115"/>
      <c r="U27" s="115"/>
      <c r="V27" s="115"/>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row>
    <row r="28" spans="1:75" s="28" customFormat="1" ht="11.1" customHeight="1" x14ac:dyDescent="0.25">
      <c r="A28" s="319"/>
      <c r="B28" s="319"/>
      <c r="C28" s="319"/>
      <c r="D28" s="319"/>
      <c r="E28" s="76"/>
      <c r="F28" s="76"/>
      <c r="G28" s="84"/>
      <c r="H28" s="115">
        <f t="shared" si="0"/>
        <v>0</v>
      </c>
      <c r="I28" s="115">
        <f t="shared" si="0"/>
        <v>0</v>
      </c>
      <c r="J28" s="115">
        <f t="shared" si="0"/>
        <v>0</v>
      </c>
      <c r="K28" s="115"/>
      <c r="L28" s="115"/>
      <c r="M28" s="115"/>
      <c r="N28" s="115"/>
      <c r="O28" s="115"/>
      <c r="P28" s="115"/>
      <c r="Q28" s="115"/>
      <c r="R28" s="115"/>
      <c r="S28" s="115"/>
      <c r="T28" s="115"/>
      <c r="U28" s="115"/>
      <c r="V28" s="115"/>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row>
    <row r="29" spans="1:75" s="28" customFormat="1" ht="14.25" customHeight="1" x14ac:dyDescent="0.25">
      <c r="A29" s="319" t="s">
        <v>110</v>
      </c>
      <c r="B29" s="319"/>
      <c r="C29" s="319"/>
      <c r="D29" s="319"/>
      <c r="E29" s="81">
        <v>1500</v>
      </c>
      <c r="F29" s="84">
        <v>180</v>
      </c>
      <c r="G29" s="84"/>
      <c r="H29" s="115">
        <f t="shared" si="0"/>
        <v>0</v>
      </c>
      <c r="I29" s="115">
        <f t="shared" si="0"/>
        <v>0</v>
      </c>
      <c r="J29" s="115">
        <f t="shared" si="0"/>
        <v>0</v>
      </c>
      <c r="K29" s="115"/>
      <c r="L29" s="115"/>
      <c r="M29" s="115"/>
      <c r="N29" s="115"/>
      <c r="O29" s="115"/>
      <c r="P29" s="115"/>
      <c r="Q29" s="115"/>
      <c r="R29" s="115"/>
      <c r="S29" s="115"/>
      <c r="T29" s="115"/>
      <c r="U29" s="115"/>
      <c r="V29" s="115"/>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row>
    <row r="30" spans="1:75" s="28" customFormat="1" ht="11.1" customHeight="1" x14ac:dyDescent="0.25">
      <c r="A30" s="319" t="s">
        <v>24</v>
      </c>
      <c r="B30" s="319"/>
      <c r="C30" s="319"/>
      <c r="D30" s="319"/>
      <c r="E30" s="76"/>
      <c r="F30" s="76"/>
      <c r="G30" s="84"/>
      <c r="H30" s="115">
        <f t="shared" si="0"/>
        <v>0</v>
      </c>
      <c r="I30" s="115">
        <f t="shared" si="0"/>
        <v>0</v>
      </c>
      <c r="J30" s="115">
        <f t="shared" si="0"/>
        <v>0</v>
      </c>
      <c r="K30" s="115"/>
      <c r="L30" s="115"/>
      <c r="M30" s="115"/>
      <c r="N30" s="115"/>
      <c r="O30" s="115"/>
      <c r="P30" s="115"/>
      <c r="Q30" s="115"/>
      <c r="R30" s="115"/>
      <c r="S30" s="115"/>
      <c r="T30" s="115"/>
      <c r="U30" s="115"/>
      <c r="V30" s="115"/>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row>
    <row r="31" spans="1:75" s="28" customFormat="1" ht="15" customHeight="1" x14ac:dyDescent="0.25">
      <c r="A31" s="319" t="s">
        <v>111</v>
      </c>
      <c r="B31" s="319"/>
      <c r="C31" s="319"/>
      <c r="D31" s="319"/>
      <c r="E31" s="81">
        <v>1510</v>
      </c>
      <c r="F31" s="84">
        <v>180</v>
      </c>
      <c r="G31" s="84"/>
      <c r="H31" s="115">
        <f t="shared" si="0"/>
        <v>0</v>
      </c>
      <c r="I31" s="115">
        <f t="shared" si="0"/>
        <v>0</v>
      </c>
      <c r="J31" s="115">
        <f t="shared" si="0"/>
        <v>0</v>
      </c>
      <c r="K31" s="115"/>
      <c r="L31" s="115"/>
      <c r="M31" s="115"/>
      <c r="N31" s="115"/>
      <c r="O31" s="115"/>
      <c r="P31" s="115"/>
      <c r="Q31" s="115"/>
      <c r="R31" s="115"/>
      <c r="S31" s="115"/>
      <c r="T31" s="115"/>
      <c r="U31" s="115"/>
      <c r="V31" s="115"/>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row>
    <row r="32" spans="1:75" s="28" customFormat="1" ht="29.25" customHeight="1" x14ac:dyDescent="0.25">
      <c r="A32" s="319" t="s">
        <v>26</v>
      </c>
      <c r="B32" s="319"/>
      <c r="C32" s="319"/>
      <c r="D32" s="319"/>
      <c r="E32" s="81">
        <v>1520</v>
      </c>
      <c r="F32" s="84">
        <v>180</v>
      </c>
      <c r="G32" s="84"/>
      <c r="H32" s="115">
        <f t="shared" si="0"/>
        <v>0</v>
      </c>
      <c r="I32" s="115">
        <f t="shared" si="0"/>
        <v>0</v>
      </c>
      <c r="J32" s="115">
        <f t="shared" si="0"/>
        <v>0</v>
      </c>
      <c r="K32" s="115"/>
      <c r="L32" s="115"/>
      <c r="M32" s="115"/>
      <c r="N32" s="115"/>
      <c r="O32" s="115"/>
      <c r="P32" s="115"/>
      <c r="Q32" s="115"/>
      <c r="R32" s="115"/>
      <c r="S32" s="115"/>
      <c r="T32" s="115"/>
      <c r="U32" s="115"/>
      <c r="V32" s="115"/>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row>
    <row r="33" spans="1:75" s="28" customFormat="1" ht="11.1" customHeight="1" x14ac:dyDescent="0.25">
      <c r="A33" s="319"/>
      <c r="B33" s="319"/>
      <c r="C33" s="319"/>
      <c r="D33" s="319"/>
      <c r="E33" s="76"/>
      <c r="F33" s="76"/>
      <c r="G33" s="84"/>
      <c r="H33" s="115">
        <f t="shared" si="0"/>
        <v>0</v>
      </c>
      <c r="I33" s="115">
        <f t="shared" si="0"/>
        <v>0</v>
      </c>
      <c r="J33" s="115">
        <f t="shared" si="0"/>
        <v>0</v>
      </c>
      <c r="K33" s="115"/>
      <c r="L33" s="115"/>
      <c r="M33" s="115"/>
      <c r="N33" s="115"/>
      <c r="O33" s="115"/>
      <c r="P33" s="115"/>
      <c r="Q33" s="115"/>
      <c r="R33" s="115"/>
      <c r="S33" s="115"/>
      <c r="T33" s="115"/>
      <c r="U33" s="115"/>
      <c r="V33" s="115"/>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row>
    <row r="34" spans="1:75" s="28" customFormat="1" ht="17.25" customHeight="1" x14ac:dyDescent="0.25">
      <c r="A34" s="319" t="s">
        <v>112</v>
      </c>
      <c r="B34" s="319"/>
      <c r="C34" s="319"/>
      <c r="D34" s="319"/>
      <c r="E34" s="81">
        <v>1900</v>
      </c>
      <c r="F34" s="76"/>
      <c r="G34" s="84"/>
      <c r="H34" s="115">
        <f t="shared" si="0"/>
        <v>0</v>
      </c>
      <c r="I34" s="115">
        <f t="shared" si="0"/>
        <v>0</v>
      </c>
      <c r="J34" s="115">
        <f t="shared" si="0"/>
        <v>0</v>
      </c>
      <c r="K34" s="115"/>
      <c r="L34" s="115"/>
      <c r="M34" s="115"/>
      <c r="N34" s="115"/>
      <c r="O34" s="115"/>
      <c r="P34" s="115"/>
      <c r="Q34" s="115"/>
      <c r="R34" s="115"/>
      <c r="S34" s="115"/>
      <c r="T34" s="115"/>
      <c r="U34" s="115"/>
      <c r="V34" s="115"/>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row>
    <row r="35" spans="1:75" s="28" customFormat="1" ht="14.25" customHeight="1" x14ac:dyDescent="0.25">
      <c r="A35" s="319" t="s">
        <v>24</v>
      </c>
      <c r="B35" s="319"/>
      <c r="C35" s="319"/>
      <c r="D35" s="319"/>
      <c r="E35" s="76"/>
      <c r="F35" s="76"/>
      <c r="G35" s="84"/>
      <c r="H35" s="115">
        <f t="shared" si="0"/>
        <v>0</v>
      </c>
      <c r="I35" s="115">
        <f t="shared" si="0"/>
        <v>0</v>
      </c>
      <c r="J35" s="115">
        <f t="shared" si="0"/>
        <v>0</v>
      </c>
      <c r="K35" s="115"/>
      <c r="L35" s="115"/>
      <c r="M35" s="115"/>
      <c r="N35" s="115"/>
      <c r="O35" s="115"/>
      <c r="P35" s="115"/>
      <c r="Q35" s="115"/>
      <c r="R35" s="115"/>
      <c r="S35" s="115"/>
      <c r="T35" s="115"/>
      <c r="U35" s="115"/>
      <c r="V35" s="115"/>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row>
    <row r="36" spans="1:75" s="28" customFormat="1" ht="11.1" customHeight="1" x14ac:dyDescent="0.25">
      <c r="A36" s="319"/>
      <c r="B36" s="319"/>
      <c r="C36" s="319"/>
      <c r="D36" s="319"/>
      <c r="E36" s="76"/>
      <c r="F36" s="76"/>
      <c r="G36" s="84"/>
      <c r="H36" s="115">
        <f t="shared" si="0"/>
        <v>0</v>
      </c>
      <c r="I36" s="115">
        <f t="shared" si="0"/>
        <v>0</v>
      </c>
      <c r="J36" s="115">
        <f t="shared" si="0"/>
        <v>0</v>
      </c>
      <c r="K36" s="115"/>
      <c r="L36" s="115"/>
      <c r="M36" s="115"/>
      <c r="N36" s="115"/>
      <c r="O36" s="115"/>
      <c r="P36" s="115"/>
      <c r="Q36" s="115"/>
      <c r="R36" s="115"/>
      <c r="S36" s="115"/>
      <c r="T36" s="115"/>
      <c r="U36" s="115"/>
      <c r="V36" s="115"/>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row>
    <row r="37" spans="1:75" s="28" customFormat="1" ht="11.1" customHeight="1" x14ac:dyDescent="0.25">
      <c r="A37" s="319"/>
      <c r="B37" s="319"/>
      <c r="C37" s="319"/>
      <c r="D37" s="319"/>
      <c r="E37" s="76"/>
      <c r="F37" s="76"/>
      <c r="G37" s="84"/>
      <c r="H37" s="115">
        <f t="shared" si="0"/>
        <v>0</v>
      </c>
      <c r="I37" s="115">
        <f t="shared" si="0"/>
        <v>0</v>
      </c>
      <c r="J37" s="115">
        <f t="shared" si="0"/>
        <v>0</v>
      </c>
      <c r="K37" s="115"/>
      <c r="L37" s="115"/>
      <c r="M37" s="115"/>
      <c r="N37" s="115"/>
      <c r="O37" s="115"/>
      <c r="P37" s="115"/>
      <c r="Q37" s="115"/>
      <c r="R37" s="115"/>
      <c r="S37" s="115"/>
      <c r="T37" s="115"/>
      <c r="U37" s="115"/>
      <c r="V37" s="115"/>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row>
    <row r="38" spans="1:75" s="28" customFormat="1" ht="12.75" customHeight="1" x14ac:dyDescent="0.25">
      <c r="A38" s="319" t="s">
        <v>113</v>
      </c>
      <c r="B38" s="319"/>
      <c r="C38" s="319"/>
      <c r="D38" s="319"/>
      <c r="E38" s="81">
        <v>1980</v>
      </c>
      <c r="F38" s="84" t="s">
        <v>9</v>
      </c>
      <c r="G38" s="84"/>
      <c r="H38" s="115">
        <f t="shared" si="0"/>
        <v>0</v>
      </c>
      <c r="I38" s="115">
        <f t="shared" si="0"/>
        <v>0</v>
      </c>
      <c r="J38" s="115">
        <f t="shared" si="0"/>
        <v>0</v>
      </c>
      <c r="K38" s="115"/>
      <c r="L38" s="115"/>
      <c r="M38" s="115"/>
      <c r="N38" s="115"/>
      <c r="O38" s="115"/>
      <c r="P38" s="115"/>
      <c r="Q38" s="115"/>
      <c r="R38" s="115"/>
      <c r="S38" s="115"/>
      <c r="T38" s="115"/>
      <c r="U38" s="115"/>
      <c r="V38" s="115"/>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row>
    <row r="39" spans="1:75" s="28" customFormat="1" ht="33.75" customHeight="1" x14ac:dyDescent="0.25">
      <c r="A39" s="319" t="s">
        <v>114</v>
      </c>
      <c r="B39" s="319"/>
      <c r="C39" s="319"/>
      <c r="D39" s="319"/>
      <c r="E39" s="81">
        <v>1981</v>
      </c>
      <c r="F39" s="81">
        <v>510</v>
      </c>
      <c r="G39" s="84"/>
      <c r="H39" s="115">
        <f t="shared" si="0"/>
        <v>0</v>
      </c>
      <c r="I39" s="115">
        <f t="shared" si="0"/>
        <v>0</v>
      </c>
      <c r="J39" s="115">
        <f t="shared" si="0"/>
        <v>0</v>
      </c>
      <c r="K39" s="115"/>
      <c r="L39" s="115"/>
      <c r="M39" s="115"/>
      <c r="N39" s="115"/>
      <c r="O39" s="115"/>
      <c r="P39" s="115"/>
      <c r="Q39" s="115"/>
      <c r="R39" s="115"/>
      <c r="S39" s="115"/>
      <c r="T39" s="115"/>
      <c r="U39" s="115"/>
      <c r="V39" s="115"/>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row>
    <row r="40" spans="1:75" s="28" customFormat="1" ht="18" customHeight="1" x14ac:dyDescent="0.25">
      <c r="A40" s="319"/>
      <c r="B40" s="319"/>
      <c r="C40" s="319"/>
      <c r="D40" s="319"/>
      <c r="E40" s="81">
        <v>1990</v>
      </c>
      <c r="F40" s="76"/>
      <c r="G40" s="84"/>
      <c r="H40" s="115">
        <f t="shared" si="0"/>
        <v>0</v>
      </c>
      <c r="I40" s="115">
        <f t="shared" si="0"/>
        <v>0</v>
      </c>
      <c r="J40" s="115">
        <f t="shared" si="0"/>
        <v>0</v>
      </c>
      <c r="K40" s="115"/>
      <c r="L40" s="115"/>
      <c r="M40" s="115"/>
      <c r="N40" s="115"/>
      <c r="O40" s="115"/>
      <c r="P40" s="115"/>
      <c r="Q40" s="115"/>
      <c r="R40" s="115"/>
      <c r="S40" s="115"/>
      <c r="T40" s="115"/>
      <c r="U40" s="115"/>
      <c r="V40" s="115"/>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row>
    <row r="41" spans="1:75" s="28" customFormat="1" ht="18.75" customHeight="1" x14ac:dyDescent="0.25">
      <c r="A41" s="472" t="s">
        <v>115</v>
      </c>
      <c r="B41" s="472"/>
      <c r="C41" s="472"/>
      <c r="D41" s="472"/>
      <c r="E41" s="85">
        <v>2000</v>
      </c>
      <c r="F41" s="85" t="s">
        <v>9</v>
      </c>
      <c r="G41" s="85"/>
      <c r="H41" s="117">
        <f t="shared" si="0"/>
        <v>0</v>
      </c>
      <c r="I41" s="117">
        <f t="shared" si="0"/>
        <v>0</v>
      </c>
      <c r="J41" s="117">
        <f t="shared" si="0"/>
        <v>0</v>
      </c>
      <c r="K41" s="117">
        <f t="shared" ref="K41:V41" si="2">K42+K76</f>
        <v>0</v>
      </c>
      <c r="L41" s="117">
        <f t="shared" si="2"/>
        <v>0</v>
      </c>
      <c r="M41" s="117">
        <f t="shared" si="2"/>
        <v>0</v>
      </c>
      <c r="N41" s="117">
        <f t="shared" si="2"/>
        <v>0</v>
      </c>
      <c r="O41" s="117">
        <f t="shared" si="2"/>
        <v>0</v>
      </c>
      <c r="P41" s="117">
        <f t="shared" si="2"/>
        <v>0</v>
      </c>
      <c r="Q41" s="117">
        <f t="shared" si="2"/>
        <v>0</v>
      </c>
      <c r="R41" s="117">
        <f t="shared" si="2"/>
        <v>0</v>
      </c>
      <c r="S41" s="117">
        <f t="shared" si="2"/>
        <v>0</v>
      </c>
      <c r="T41" s="117">
        <f t="shared" si="2"/>
        <v>0</v>
      </c>
      <c r="U41" s="117">
        <f t="shared" si="2"/>
        <v>0</v>
      </c>
      <c r="V41" s="117">
        <f t="shared" si="2"/>
        <v>0</v>
      </c>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row>
    <row r="42" spans="1:75" s="28" customFormat="1" ht="22.5" customHeight="1" x14ac:dyDescent="0.25">
      <c r="A42" s="506" t="s">
        <v>116</v>
      </c>
      <c r="B42" s="506"/>
      <c r="C42" s="506"/>
      <c r="D42" s="506"/>
      <c r="E42" s="109">
        <v>2100</v>
      </c>
      <c r="F42" s="109" t="s">
        <v>9</v>
      </c>
      <c r="G42" s="109"/>
      <c r="H42" s="115">
        <f t="shared" si="0"/>
        <v>0</v>
      </c>
      <c r="I42" s="115">
        <f t="shared" si="0"/>
        <v>0</v>
      </c>
      <c r="J42" s="115">
        <f t="shared" si="0"/>
        <v>0</v>
      </c>
      <c r="K42" s="117">
        <f t="shared" ref="K42:V42" si="3">K43+K45+K47+K49+K50+K52+K48+K46+K44</f>
        <v>0</v>
      </c>
      <c r="L42" s="117">
        <f t="shared" si="3"/>
        <v>0</v>
      </c>
      <c r="M42" s="117">
        <f t="shared" si="3"/>
        <v>0</v>
      </c>
      <c r="N42" s="117">
        <f t="shared" si="3"/>
        <v>0</v>
      </c>
      <c r="O42" s="117">
        <f t="shared" si="3"/>
        <v>0</v>
      </c>
      <c r="P42" s="117">
        <f t="shared" si="3"/>
        <v>0</v>
      </c>
      <c r="Q42" s="117">
        <f t="shared" si="3"/>
        <v>0</v>
      </c>
      <c r="R42" s="117">
        <f t="shared" si="3"/>
        <v>0</v>
      </c>
      <c r="S42" s="117">
        <f t="shared" si="3"/>
        <v>0</v>
      </c>
      <c r="T42" s="117">
        <f t="shared" si="3"/>
        <v>0</v>
      </c>
      <c r="U42" s="117">
        <f t="shared" si="3"/>
        <v>0</v>
      </c>
      <c r="V42" s="117">
        <f t="shared" si="3"/>
        <v>0</v>
      </c>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row>
    <row r="43" spans="1:75" s="28" customFormat="1" ht="22.5" customHeight="1" x14ac:dyDescent="0.25">
      <c r="A43" s="506" t="s">
        <v>117</v>
      </c>
      <c r="B43" s="506"/>
      <c r="C43" s="506"/>
      <c r="D43" s="506"/>
      <c r="E43" s="109">
        <v>2110</v>
      </c>
      <c r="F43" s="109">
        <v>111</v>
      </c>
      <c r="G43" s="109">
        <v>211</v>
      </c>
      <c r="H43" s="115">
        <f t="shared" si="0"/>
        <v>0</v>
      </c>
      <c r="I43" s="115">
        <f t="shared" si="0"/>
        <v>0</v>
      </c>
      <c r="J43" s="115">
        <f t="shared" si="0"/>
        <v>0</v>
      </c>
      <c r="K43" s="115"/>
      <c r="L43" s="115"/>
      <c r="M43" s="115"/>
      <c r="N43" s="115"/>
      <c r="O43" s="115"/>
      <c r="P43" s="115"/>
      <c r="Q43" s="115"/>
      <c r="R43" s="115"/>
      <c r="S43" s="115"/>
      <c r="T43" s="115"/>
      <c r="U43" s="115"/>
      <c r="V43" s="115"/>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row>
    <row r="44" spans="1:75" s="28" customFormat="1" ht="22.5" customHeight="1" x14ac:dyDescent="0.25">
      <c r="A44" s="271" t="s">
        <v>324</v>
      </c>
      <c r="B44" s="272"/>
      <c r="C44" s="272"/>
      <c r="D44" s="273"/>
      <c r="E44" s="109">
        <v>2111</v>
      </c>
      <c r="F44" s="109">
        <v>111</v>
      </c>
      <c r="G44" s="109">
        <v>266</v>
      </c>
      <c r="H44" s="115">
        <f t="shared" si="0"/>
        <v>0</v>
      </c>
      <c r="I44" s="115"/>
      <c r="J44" s="115"/>
      <c r="K44" s="115"/>
      <c r="L44" s="115"/>
      <c r="M44" s="115"/>
      <c r="N44" s="115"/>
      <c r="O44" s="115"/>
      <c r="P44" s="115"/>
      <c r="Q44" s="115"/>
      <c r="R44" s="115"/>
      <c r="S44" s="115"/>
      <c r="T44" s="115"/>
      <c r="U44" s="115"/>
      <c r="V44" s="115"/>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row>
    <row r="45" spans="1:75" s="28" customFormat="1" ht="22.5" customHeight="1" x14ac:dyDescent="0.25">
      <c r="A45" s="271" t="s">
        <v>325</v>
      </c>
      <c r="B45" s="272"/>
      <c r="C45" s="272"/>
      <c r="D45" s="273"/>
      <c r="E45" s="109">
        <v>2112</v>
      </c>
      <c r="F45" s="109">
        <v>112</v>
      </c>
      <c r="G45" s="109">
        <v>212</v>
      </c>
      <c r="H45" s="115">
        <f t="shared" si="0"/>
        <v>0</v>
      </c>
      <c r="I45" s="115">
        <f t="shared" si="0"/>
        <v>0</v>
      </c>
      <c r="J45" s="115">
        <f t="shared" si="0"/>
        <v>0</v>
      </c>
      <c r="K45" s="115"/>
      <c r="L45" s="115"/>
      <c r="M45" s="115"/>
      <c r="N45" s="115"/>
      <c r="O45" s="115"/>
      <c r="P45" s="115"/>
      <c r="Q45" s="115"/>
      <c r="R45" s="115"/>
      <c r="S45" s="115"/>
      <c r="T45" s="115"/>
      <c r="U45" s="115"/>
      <c r="V45" s="115"/>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row>
    <row r="46" spans="1:75" s="28" customFormat="1" ht="34.5" customHeight="1" x14ac:dyDescent="0.25">
      <c r="A46" s="510" t="s">
        <v>326</v>
      </c>
      <c r="B46" s="511"/>
      <c r="C46" s="511"/>
      <c r="D46" s="512"/>
      <c r="E46" s="109">
        <v>2113</v>
      </c>
      <c r="F46" s="109">
        <v>112</v>
      </c>
      <c r="G46" s="109">
        <v>214</v>
      </c>
      <c r="H46" s="115">
        <f t="shared" si="0"/>
        <v>0</v>
      </c>
      <c r="I46" s="115">
        <f t="shared" si="0"/>
        <v>0</v>
      </c>
      <c r="J46" s="115">
        <f t="shared" si="0"/>
        <v>0</v>
      </c>
      <c r="K46" s="115"/>
      <c r="L46" s="115"/>
      <c r="M46" s="115"/>
      <c r="N46" s="115"/>
      <c r="O46" s="115"/>
      <c r="P46" s="115"/>
      <c r="Q46" s="115"/>
      <c r="R46" s="115"/>
      <c r="S46" s="115"/>
      <c r="T46" s="115"/>
      <c r="U46" s="115"/>
      <c r="V46" s="115"/>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row>
    <row r="47" spans="1:75" s="28" customFormat="1" ht="25.5" customHeight="1" x14ac:dyDescent="0.25">
      <c r="A47" s="506" t="s">
        <v>118</v>
      </c>
      <c r="B47" s="506"/>
      <c r="C47" s="506"/>
      <c r="D47" s="506"/>
      <c r="E47" s="109">
        <v>2120</v>
      </c>
      <c r="F47" s="109">
        <v>112</v>
      </c>
      <c r="G47" s="109">
        <v>226</v>
      </c>
      <c r="H47" s="115">
        <f t="shared" si="0"/>
        <v>0</v>
      </c>
      <c r="I47" s="115">
        <f t="shared" si="0"/>
        <v>0</v>
      </c>
      <c r="J47" s="115">
        <f t="shared" si="0"/>
        <v>0</v>
      </c>
      <c r="K47" s="115"/>
      <c r="L47" s="115"/>
      <c r="M47" s="115"/>
      <c r="N47" s="115"/>
      <c r="O47" s="115"/>
      <c r="P47" s="115"/>
      <c r="Q47" s="115"/>
      <c r="R47" s="115"/>
      <c r="S47" s="115"/>
      <c r="T47" s="115"/>
      <c r="U47" s="115"/>
      <c r="V47" s="115"/>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row>
    <row r="48" spans="1:75" s="28" customFormat="1" ht="25.5" customHeight="1" x14ac:dyDescent="0.25">
      <c r="A48" s="271" t="s">
        <v>300</v>
      </c>
      <c r="B48" s="272"/>
      <c r="C48" s="272"/>
      <c r="D48" s="273"/>
      <c r="E48" s="109">
        <v>2121</v>
      </c>
      <c r="F48" s="109">
        <v>112</v>
      </c>
      <c r="G48" s="109">
        <v>266</v>
      </c>
      <c r="H48" s="115">
        <f t="shared" si="0"/>
        <v>0</v>
      </c>
      <c r="I48" s="115">
        <f t="shared" si="0"/>
        <v>0</v>
      </c>
      <c r="J48" s="115">
        <f t="shared" si="0"/>
        <v>0</v>
      </c>
      <c r="K48" s="115"/>
      <c r="L48" s="115"/>
      <c r="M48" s="115"/>
      <c r="N48" s="115"/>
      <c r="O48" s="115"/>
      <c r="P48" s="115"/>
      <c r="Q48" s="115"/>
      <c r="R48" s="115"/>
      <c r="S48" s="115"/>
      <c r="T48" s="115"/>
      <c r="U48" s="115"/>
      <c r="V48" s="115"/>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row>
    <row r="49" spans="1:75" s="28" customFormat="1" ht="22.5" customHeight="1" x14ac:dyDescent="0.25">
      <c r="A49" s="506" t="s">
        <v>119</v>
      </c>
      <c r="B49" s="506"/>
      <c r="C49" s="506"/>
      <c r="D49" s="506"/>
      <c r="E49" s="109">
        <v>2130</v>
      </c>
      <c r="F49" s="109">
        <v>113</v>
      </c>
      <c r="G49" s="109"/>
      <c r="H49" s="115">
        <f t="shared" si="0"/>
        <v>0</v>
      </c>
      <c r="I49" s="115">
        <f t="shared" si="0"/>
        <v>0</v>
      </c>
      <c r="J49" s="115">
        <f t="shared" si="0"/>
        <v>0</v>
      </c>
      <c r="K49" s="115"/>
      <c r="L49" s="115"/>
      <c r="M49" s="115"/>
      <c r="N49" s="115"/>
      <c r="O49" s="115"/>
      <c r="P49" s="115"/>
      <c r="Q49" s="115"/>
      <c r="R49" s="115"/>
      <c r="S49" s="115"/>
      <c r="T49" s="115"/>
      <c r="U49" s="115"/>
      <c r="V49" s="115"/>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row>
    <row r="50" spans="1:75" s="28" customFormat="1" ht="50.25" customHeight="1" x14ac:dyDescent="0.25">
      <c r="A50" s="506" t="s">
        <v>120</v>
      </c>
      <c r="B50" s="506"/>
      <c r="C50" s="506"/>
      <c r="D50" s="506"/>
      <c r="E50" s="109">
        <v>2140</v>
      </c>
      <c r="F50" s="109">
        <v>119</v>
      </c>
      <c r="G50" s="109"/>
      <c r="H50" s="115">
        <f t="shared" si="0"/>
        <v>0</v>
      </c>
      <c r="I50" s="115">
        <f t="shared" si="0"/>
        <v>0</v>
      </c>
      <c r="J50" s="115">
        <f t="shared" si="0"/>
        <v>0</v>
      </c>
      <c r="K50" s="115"/>
      <c r="L50" s="115"/>
      <c r="M50" s="115"/>
      <c r="N50" s="115"/>
      <c r="O50" s="115"/>
      <c r="P50" s="115"/>
      <c r="Q50" s="115"/>
      <c r="R50" s="115"/>
      <c r="S50" s="115"/>
      <c r="T50" s="115"/>
      <c r="U50" s="115"/>
      <c r="V50" s="115"/>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row>
    <row r="51" spans="1:75" s="28" customFormat="1" ht="22.5" customHeight="1" x14ac:dyDescent="0.25">
      <c r="A51" s="319" t="s">
        <v>121</v>
      </c>
      <c r="B51" s="319"/>
      <c r="C51" s="319"/>
      <c r="D51" s="319"/>
      <c r="E51" s="84">
        <v>2141</v>
      </c>
      <c r="F51" s="84">
        <v>119</v>
      </c>
      <c r="G51" s="84">
        <v>213</v>
      </c>
      <c r="H51" s="115">
        <f t="shared" si="0"/>
        <v>0</v>
      </c>
      <c r="I51" s="115">
        <f t="shared" si="0"/>
        <v>0</v>
      </c>
      <c r="J51" s="115">
        <f t="shared" si="0"/>
        <v>0</v>
      </c>
      <c r="K51" s="117">
        <f>K50</f>
        <v>0</v>
      </c>
      <c r="L51" s="117">
        <f>L50</f>
        <v>0</v>
      </c>
      <c r="M51" s="117">
        <f>M50</f>
        <v>0</v>
      </c>
      <c r="N51" s="117">
        <f t="shared" ref="N51:V51" si="4">N50</f>
        <v>0</v>
      </c>
      <c r="O51" s="117">
        <f t="shared" si="4"/>
        <v>0</v>
      </c>
      <c r="P51" s="117">
        <f t="shared" si="4"/>
        <v>0</v>
      </c>
      <c r="Q51" s="117">
        <f t="shared" si="4"/>
        <v>0</v>
      </c>
      <c r="R51" s="117">
        <f t="shared" si="4"/>
        <v>0</v>
      </c>
      <c r="S51" s="117">
        <f t="shared" si="4"/>
        <v>0</v>
      </c>
      <c r="T51" s="117">
        <f t="shared" si="4"/>
        <v>0</v>
      </c>
      <c r="U51" s="117">
        <f t="shared" si="4"/>
        <v>0</v>
      </c>
      <c r="V51" s="117">
        <f t="shared" si="4"/>
        <v>0</v>
      </c>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row>
    <row r="52" spans="1:75" s="28" customFormat="1" ht="15.75" customHeight="1" x14ac:dyDescent="0.25">
      <c r="A52" s="319" t="s">
        <v>122</v>
      </c>
      <c r="B52" s="319"/>
      <c r="C52" s="319"/>
      <c r="D52" s="319"/>
      <c r="E52" s="84">
        <v>2142</v>
      </c>
      <c r="F52" s="84">
        <v>119</v>
      </c>
      <c r="G52" s="84"/>
      <c r="H52" s="115">
        <f t="shared" si="0"/>
        <v>0</v>
      </c>
      <c r="I52" s="115">
        <f t="shared" si="0"/>
        <v>0</v>
      </c>
      <c r="J52" s="115">
        <f t="shared" si="0"/>
        <v>0</v>
      </c>
      <c r="K52" s="115"/>
      <c r="L52" s="115"/>
      <c r="M52" s="115"/>
      <c r="N52" s="115"/>
      <c r="O52" s="115"/>
      <c r="P52" s="115"/>
      <c r="Q52" s="115"/>
      <c r="R52" s="115"/>
      <c r="S52" s="115"/>
      <c r="T52" s="115"/>
      <c r="U52" s="115"/>
      <c r="V52" s="115"/>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row>
    <row r="53" spans="1:75" s="28" customFormat="1" ht="18.75" customHeight="1" x14ac:dyDescent="0.25">
      <c r="A53" s="319" t="s">
        <v>123</v>
      </c>
      <c r="B53" s="319"/>
      <c r="C53" s="319"/>
      <c r="D53" s="319"/>
      <c r="E53" s="84">
        <v>2200</v>
      </c>
      <c r="F53" s="84">
        <v>300</v>
      </c>
      <c r="G53" s="84"/>
      <c r="H53" s="115">
        <f t="shared" si="0"/>
        <v>0</v>
      </c>
      <c r="I53" s="115">
        <f t="shared" si="0"/>
        <v>0</v>
      </c>
      <c r="J53" s="115">
        <f t="shared" si="0"/>
        <v>0</v>
      </c>
      <c r="K53" s="115"/>
      <c r="L53" s="115"/>
      <c r="M53" s="115"/>
      <c r="N53" s="115"/>
      <c r="O53" s="115"/>
      <c r="P53" s="115"/>
      <c r="Q53" s="115"/>
      <c r="R53" s="115"/>
      <c r="S53" s="115"/>
      <c r="T53" s="115"/>
      <c r="U53" s="115"/>
      <c r="V53" s="115"/>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row>
    <row r="54" spans="1:75" s="28" customFormat="1" ht="21.75" customHeight="1" x14ac:dyDescent="0.25">
      <c r="A54" s="319" t="s">
        <v>124</v>
      </c>
      <c r="B54" s="319"/>
      <c r="C54" s="319"/>
      <c r="D54" s="319"/>
      <c r="E54" s="84">
        <v>2210</v>
      </c>
      <c r="F54" s="84">
        <v>320</v>
      </c>
      <c r="G54" s="84"/>
      <c r="H54" s="115">
        <f t="shared" si="0"/>
        <v>0</v>
      </c>
      <c r="I54" s="115">
        <f t="shared" si="0"/>
        <v>0</v>
      </c>
      <c r="J54" s="115">
        <f t="shared" si="0"/>
        <v>0</v>
      </c>
      <c r="K54" s="115"/>
      <c r="L54" s="115"/>
      <c r="M54" s="115"/>
      <c r="N54" s="115"/>
      <c r="O54" s="115"/>
      <c r="P54" s="115"/>
      <c r="Q54" s="115"/>
      <c r="R54" s="115"/>
      <c r="S54" s="115"/>
      <c r="T54" s="115"/>
      <c r="U54" s="115"/>
      <c r="V54" s="115"/>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row>
    <row r="55" spans="1:75" s="28" customFormat="1" ht="33.75" customHeight="1" x14ac:dyDescent="0.25">
      <c r="A55" s="319" t="s">
        <v>125</v>
      </c>
      <c r="B55" s="319"/>
      <c r="C55" s="319"/>
      <c r="D55" s="319"/>
      <c r="E55" s="84">
        <v>2211</v>
      </c>
      <c r="F55" s="84">
        <v>321</v>
      </c>
      <c r="G55" s="84"/>
      <c r="H55" s="115">
        <f t="shared" si="0"/>
        <v>0</v>
      </c>
      <c r="I55" s="115">
        <f t="shared" si="0"/>
        <v>0</v>
      </c>
      <c r="J55" s="115">
        <f t="shared" si="0"/>
        <v>0</v>
      </c>
      <c r="K55" s="115"/>
      <c r="L55" s="115"/>
      <c r="M55" s="115"/>
      <c r="N55" s="115"/>
      <c r="O55" s="115"/>
      <c r="P55" s="115"/>
      <c r="Q55" s="115"/>
      <c r="R55" s="115"/>
      <c r="S55" s="115"/>
      <c r="T55" s="115"/>
      <c r="U55" s="115"/>
      <c r="V55" s="115"/>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row>
    <row r="56" spans="1:75" s="28" customFormat="1" ht="11.1" customHeight="1" x14ac:dyDescent="0.25">
      <c r="A56" s="319"/>
      <c r="B56" s="319"/>
      <c r="C56" s="319"/>
      <c r="D56" s="319"/>
      <c r="E56" s="76"/>
      <c r="F56" s="76"/>
      <c r="G56" s="84"/>
      <c r="H56" s="115">
        <f t="shared" si="0"/>
        <v>0</v>
      </c>
      <c r="I56" s="115">
        <f t="shared" si="0"/>
        <v>0</v>
      </c>
      <c r="J56" s="115">
        <f t="shared" si="0"/>
        <v>0</v>
      </c>
      <c r="K56" s="115"/>
      <c r="L56" s="115"/>
      <c r="M56" s="115"/>
      <c r="N56" s="115"/>
      <c r="O56" s="115"/>
      <c r="P56" s="115"/>
      <c r="Q56" s="115"/>
      <c r="R56" s="115"/>
      <c r="S56" s="115"/>
      <c r="T56" s="115"/>
      <c r="U56" s="115"/>
      <c r="V56" s="115"/>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row>
    <row r="57" spans="1:75" s="28" customFormat="1" ht="54.75" customHeight="1" x14ac:dyDescent="0.25">
      <c r="A57" s="319" t="s">
        <v>126</v>
      </c>
      <c r="B57" s="319"/>
      <c r="C57" s="319"/>
      <c r="D57" s="319"/>
      <c r="E57" s="84">
        <v>2220</v>
      </c>
      <c r="F57" s="84">
        <v>340</v>
      </c>
      <c r="G57" s="84"/>
      <c r="H57" s="115">
        <f t="shared" si="0"/>
        <v>0</v>
      </c>
      <c r="I57" s="115">
        <f t="shared" si="0"/>
        <v>0</v>
      </c>
      <c r="J57" s="115">
        <f t="shared" si="0"/>
        <v>0</v>
      </c>
      <c r="K57" s="115"/>
      <c r="L57" s="115"/>
      <c r="M57" s="115"/>
      <c r="N57" s="115"/>
      <c r="O57" s="115"/>
      <c r="P57" s="115"/>
      <c r="Q57" s="115"/>
      <c r="R57" s="115"/>
      <c r="S57" s="115"/>
      <c r="T57" s="115"/>
      <c r="U57" s="115"/>
      <c r="V57" s="115"/>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1:75" s="28" customFormat="1" ht="66.75" customHeight="1" x14ac:dyDescent="0.25">
      <c r="A58" s="319" t="s">
        <v>127</v>
      </c>
      <c r="B58" s="319"/>
      <c r="C58" s="319"/>
      <c r="D58" s="319"/>
      <c r="E58" s="84">
        <v>2230</v>
      </c>
      <c r="F58" s="84">
        <v>350</v>
      </c>
      <c r="G58" s="84"/>
      <c r="H58" s="115">
        <f t="shared" si="0"/>
        <v>0</v>
      </c>
      <c r="I58" s="115">
        <f t="shared" si="0"/>
        <v>0</v>
      </c>
      <c r="J58" s="115">
        <f t="shared" si="0"/>
        <v>0</v>
      </c>
      <c r="K58" s="115"/>
      <c r="L58" s="115"/>
      <c r="M58" s="115"/>
      <c r="N58" s="115"/>
      <c r="O58" s="115"/>
      <c r="P58" s="115"/>
      <c r="Q58" s="115"/>
      <c r="R58" s="115"/>
      <c r="S58" s="115"/>
      <c r="T58" s="115"/>
      <c r="U58" s="115"/>
      <c r="V58" s="115"/>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row>
    <row r="59" spans="1:75" s="28" customFormat="1" ht="26.25" customHeight="1" x14ac:dyDescent="0.25">
      <c r="A59" s="319" t="s">
        <v>128</v>
      </c>
      <c r="B59" s="319"/>
      <c r="C59" s="319"/>
      <c r="D59" s="319"/>
      <c r="E59" s="84">
        <v>2240</v>
      </c>
      <c r="F59" s="84">
        <v>360</v>
      </c>
      <c r="G59" s="84"/>
      <c r="H59" s="115">
        <f t="shared" si="0"/>
        <v>0</v>
      </c>
      <c r="I59" s="115">
        <f t="shared" si="0"/>
        <v>0</v>
      </c>
      <c r="J59" s="115">
        <f t="shared" si="0"/>
        <v>0</v>
      </c>
      <c r="K59" s="115"/>
      <c r="L59" s="115"/>
      <c r="M59" s="115"/>
      <c r="N59" s="115"/>
      <c r="O59" s="115"/>
      <c r="P59" s="115"/>
      <c r="Q59" s="115"/>
      <c r="R59" s="115"/>
      <c r="S59" s="115"/>
      <c r="T59" s="115"/>
      <c r="U59" s="115"/>
      <c r="V59" s="115"/>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row>
    <row r="60" spans="1:75" s="28" customFormat="1" ht="19.5" customHeight="1" x14ac:dyDescent="0.25">
      <c r="A60" s="319" t="s">
        <v>129</v>
      </c>
      <c r="B60" s="319"/>
      <c r="C60" s="319"/>
      <c r="D60" s="319"/>
      <c r="E60" s="84">
        <v>2300</v>
      </c>
      <c r="F60" s="84">
        <v>850</v>
      </c>
      <c r="G60" s="84"/>
      <c r="H60" s="115">
        <f t="shared" si="0"/>
        <v>0</v>
      </c>
      <c r="I60" s="115">
        <f>L60+O60+R60+U60</f>
        <v>0</v>
      </c>
      <c r="J60" s="115">
        <f t="shared" si="0"/>
        <v>0</v>
      </c>
      <c r="K60" s="117">
        <f t="shared" ref="K60:S60" si="5">K61+K62+K65+K63+K64</f>
        <v>0</v>
      </c>
      <c r="L60" s="117">
        <f t="shared" si="5"/>
        <v>0</v>
      </c>
      <c r="M60" s="117">
        <f t="shared" si="5"/>
        <v>0</v>
      </c>
      <c r="N60" s="117">
        <f t="shared" si="5"/>
        <v>0</v>
      </c>
      <c r="O60" s="117">
        <f t="shared" si="5"/>
        <v>0</v>
      </c>
      <c r="P60" s="117">
        <f t="shared" si="5"/>
        <v>0</v>
      </c>
      <c r="Q60" s="117">
        <f t="shared" si="5"/>
        <v>0</v>
      </c>
      <c r="R60" s="117">
        <f t="shared" si="5"/>
        <v>0</v>
      </c>
      <c r="S60" s="117">
        <f t="shared" si="5"/>
        <v>0</v>
      </c>
      <c r="T60" s="117">
        <f>T61+T62+T65+T63+T64</f>
        <v>0</v>
      </c>
      <c r="U60" s="117">
        <f>U61+U62+U65+U63+U64</f>
        <v>0</v>
      </c>
      <c r="V60" s="117">
        <f>V61+V62+V65+V63+V64</f>
        <v>0</v>
      </c>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row>
    <row r="61" spans="1:75" s="28" customFormat="1" ht="32.25" customHeight="1" x14ac:dyDescent="0.25">
      <c r="A61" s="319" t="s">
        <v>130</v>
      </c>
      <c r="B61" s="319"/>
      <c r="C61" s="319"/>
      <c r="D61" s="319"/>
      <c r="E61" s="84">
        <v>2310</v>
      </c>
      <c r="F61" s="84">
        <v>851</v>
      </c>
      <c r="G61" s="84" t="s">
        <v>322</v>
      </c>
      <c r="H61" s="115">
        <f t="shared" si="0"/>
        <v>0</v>
      </c>
      <c r="I61" s="115">
        <f t="shared" si="0"/>
        <v>0</v>
      </c>
      <c r="J61" s="115">
        <f t="shared" si="0"/>
        <v>0</v>
      </c>
      <c r="K61" s="115"/>
      <c r="L61" s="115"/>
      <c r="M61" s="115"/>
      <c r="N61" s="115"/>
      <c r="O61" s="115"/>
      <c r="P61" s="115"/>
      <c r="Q61" s="115"/>
      <c r="R61" s="115"/>
      <c r="S61" s="115"/>
      <c r="T61" s="115"/>
      <c r="U61" s="115"/>
      <c r="V61" s="115"/>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row>
    <row r="62" spans="1:75" s="28" customFormat="1" ht="42" customHeight="1" x14ac:dyDescent="0.25">
      <c r="A62" s="319" t="s">
        <v>131</v>
      </c>
      <c r="B62" s="319"/>
      <c r="C62" s="319"/>
      <c r="D62" s="319"/>
      <c r="E62" s="84">
        <v>2320</v>
      </c>
      <c r="F62" s="84">
        <v>852</v>
      </c>
      <c r="G62" s="84">
        <v>291</v>
      </c>
      <c r="H62" s="115">
        <f t="shared" si="0"/>
        <v>0</v>
      </c>
      <c r="I62" s="115">
        <f t="shared" si="0"/>
        <v>0</v>
      </c>
      <c r="J62" s="115">
        <f t="shared" si="0"/>
        <v>0</v>
      </c>
      <c r="K62" s="115"/>
      <c r="L62" s="115"/>
      <c r="M62" s="115"/>
      <c r="N62" s="115"/>
      <c r="O62" s="115"/>
      <c r="P62" s="115"/>
      <c r="Q62" s="115"/>
      <c r="R62" s="115"/>
      <c r="S62" s="115"/>
      <c r="T62" s="115"/>
      <c r="U62" s="115"/>
      <c r="V62" s="115"/>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row>
    <row r="63" spans="1:75" s="28" customFormat="1" ht="42" customHeight="1" x14ac:dyDescent="0.25">
      <c r="A63" s="319" t="s">
        <v>132</v>
      </c>
      <c r="B63" s="319"/>
      <c r="C63" s="319"/>
      <c r="D63" s="319"/>
      <c r="E63" s="84"/>
      <c r="F63" s="84">
        <v>853</v>
      </c>
      <c r="G63" s="84">
        <v>292</v>
      </c>
      <c r="H63" s="115">
        <f t="shared" si="0"/>
        <v>0</v>
      </c>
      <c r="I63" s="115">
        <f t="shared" si="0"/>
        <v>0</v>
      </c>
      <c r="J63" s="115">
        <f t="shared" si="0"/>
        <v>0</v>
      </c>
      <c r="K63" s="115"/>
      <c r="L63" s="115"/>
      <c r="M63" s="115"/>
      <c r="N63" s="115"/>
      <c r="O63" s="115"/>
      <c r="P63" s="115"/>
      <c r="Q63" s="115"/>
      <c r="R63" s="115"/>
      <c r="S63" s="115"/>
      <c r="T63" s="115"/>
      <c r="U63" s="115"/>
      <c r="V63" s="115"/>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75" s="28" customFormat="1" ht="42" customHeight="1" x14ac:dyDescent="0.25">
      <c r="A64" s="326" t="s">
        <v>308</v>
      </c>
      <c r="B64" s="327"/>
      <c r="C64" s="327"/>
      <c r="D64" s="328"/>
      <c r="E64" s="84"/>
      <c r="F64" s="84">
        <v>853</v>
      </c>
      <c r="G64" s="84">
        <v>293</v>
      </c>
      <c r="H64" s="115">
        <f t="shared" si="0"/>
        <v>0</v>
      </c>
      <c r="I64" s="115">
        <f t="shared" si="0"/>
        <v>0</v>
      </c>
      <c r="J64" s="115">
        <f t="shared" si="0"/>
        <v>0</v>
      </c>
      <c r="K64" s="115"/>
      <c r="L64" s="115"/>
      <c r="M64" s="115"/>
      <c r="N64" s="115"/>
      <c r="O64" s="115"/>
      <c r="P64" s="115"/>
      <c r="Q64" s="115"/>
      <c r="R64" s="115"/>
      <c r="S64" s="115"/>
      <c r="T64" s="115"/>
      <c r="U64" s="115"/>
      <c r="V64" s="115"/>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row>
    <row r="65" spans="1:75" s="28" customFormat="1" ht="31.5" customHeight="1" x14ac:dyDescent="0.25">
      <c r="A65" s="319" t="s">
        <v>132</v>
      </c>
      <c r="B65" s="319"/>
      <c r="C65" s="319"/>
      <c r="D65" s="319"/>
      <c r="E65" s="84">
        <v>2330</v>
      </c>
      <c r="F65" s="84">
        <v>853</v>
      </c>
      <c r="G65" s="84">
        <v>295</v>
      </c>
      <c r="H65" s="115">
        <f t="shared" si="0"/>
        <v>0</v>
      </c>
      <c r="I65" s="115">
        <f t="shared" si="0"/>
        <v>0</v>
      </c>
      <c r="J65" s="115">
        <f t="shared" si="0"/>
        <v>0</v>
      </c>
      <c r="K65" s="115"/>
      <c r="L65" s="115"/>
      <c r="M65" s="115"/>
      <c r="N65" s="115"/>
      <c r="O65" s="115"/>
      <c r="P65" s="115"/>
      <c r="Q65" s="115"/>
      <c r="R65" s="115"/>
      <c r="S65" s="115"/>
      <c r="T65" s="115"/>
      <c r="U65" s="115"/>
      <c r="V65" s="115"/>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row>
    <row r="66" spans="1:75" s="28" customFormat="1" ht="34.5" customHeight="1" x14ac:dyDescent="0.25">
      <c r="A66" s="319" t="s">
        <v>133</v>
      </c>
      <c r="B66" s="319"/>
      <c r="C66" s="319"/>
      <c r="D66" s="319"/>
      <c r="E66" s="84">
        <v>2400</v>
      </c>
      <c r="F66" s="84" t="s">
        <v>9</v>
      </c>
      <c r="G66" s="84"/>
      <c r="H66" s="115">
        <f t="shared" si="0"/>
        <v>0</v>
      </c>
      <c r="I66" s="115">
        <f t="shared" si="0"/>
        <v>0</v>
      </c>
      <c r="J66" s="115">
        <f t="shared" si="0"/>
        <v>0</v>
      </c>
      <c r="K66" s="115"/>
      <c r="L66" s="115"/>
      <c r="M66" s="115"/>
      <c r="N66" s="115"/>
      <c r="O66" s="115"/>
      <c r="P66" s="115"/>
      <c r="Q66" s="115"/>
      <c r="R66" s="115"/>
      <c r="S66" s="115"/>
      <c r="T66" s="115"/>
      <c r="U66" s="115"/>
      <c r="V66" s="115"/>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28" customFormat="1" ht="42.75" customHeight="1" x14ac:dyDescent="0.25">
      <c r="A67" s="319" t="s">
        <v>134</v>
      </c>
      <c r="B67" s="319"/>
      <c r="C67" s="319"/>
      <c r="D67" s="319"/>
      <c r="E67" s="84">
        <v>2410</v>
      </c>
      <c r="F67" s="84">
        <v>810</v>
      </c>
      <c r="G67" s="84"/>
      <c r="H67" s="115">
        <f t="shared" si="0"/>
        <v>0</v>
      </c>
      <c r="I67" s="115">
        <f t="shared" si="0"/>
        <v>0</v>
      </c>
      <c r="J67" s="115">
        <f t="shared" si="0"/>
        <v>0</v>
      </c>
      <c r="K67" s="115"/>
      <c r="L67" s="115"/>
      <c r="M67" s="115"/>
      <c r="N67" s="115"/>
      <c r="O67" s="115"/>
      <c r="P67" s="115"/>
      <c r="Q67" s="115"/>
      <c r="R67" s="115"/>
      <c r="S67" s="115"/>
      <c r="T67" s="115"/>
      <c r="U67" s="115"/>
      <c r="V67" s="115"/>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28" customFormat="1" ht="19.5" customHeight="1" x14ac:dyDescent="0.25">
      <c r="A68" s="319" t="s">
        <v>135</v>
      </c>
      <c r="B68" s="319"/>
      <c r="C68" s="319"/>
      <c r="D68" s="319"/>
      <c r="E68" s="84">
        <v>2420</v>
      </c>
      <c r="F68" s="84">
        <v>862</v>
      </c>
      <c r="G68" s="84"/>
      <c r="H68" s="115">
        <f t="shared" si="0"/>
        <v>0</v>
      </c>
      <c r="I68" s="115">
        <f t="shared" si="0"/>
        <v>0</v>
      </c>
      <c r="J68" s="115">
        <f t="shared" si="0"/>
        <v>0</v>
      </c>
      <c r="K68" s="115"/>
      <c r="L68" s="115"/>
      <c r="M68" s="115"/>
      <c r="N68" s="115"/>
      <c r="O68" s="115"/>
      <c r="P68" s="115"/>
      <c r="Q68" s="115"/>
      <c r="R68" s="115"/>
      <c r="S68" s="115"/>
      <c r="T68" s="115"/>
      <c r="U68" s="115"/>
      <c r="V68" s="115"/>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28" customFormat="1" ht="41.25" customHeight="1" x14ac:dyDescent="0.25">
      <c r="A69" s="319" t="s">
        <v>136</v>
      </c>
      <c r="B69" s="319"/>
      <c r="C69" s="319"/>
      <c r="D69" s="319"/>
      <c r="E69" s="84">
        <v>2430</v>
      </c>
      <c r="F69" s="84">
        <v>863</v>
      </c>
      <c r="G69" s="84"/>
      <c r="H69" s="115">
        <f t="shared" si="0"/>
        <v>0</v>
      </c>
      <c r="I69" s="115">
        <f t="shared" si="0"/>
        <v>0</v>
      </c>
      <c r="J69" s="115">
        <f t="shared" si="0"/>
        <v>0</v>
      </c>
      <c r="K69" s="115"/>
      <c r="L69" s="115"/>
      <c r="M69" s="115"/>
      <c r="N69" s="115"/>
      <c r="O69" s="115"/>
      <c r="P69" s="115"/>
      <c r="Q69" s="115"/>
      <c r="R69" s="115"/>
      <c r="S69" s="115"/>
      <c r="T69" s="115"/>
      <c r="U69" s="115"/>
      <c r="V69" s="115"/>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28" customFormat="1" ht="30.75" customHeight="1" x14ac:dyDescent="0.25">
      <c r="A70" s="319" t="s">
        <v>137</v>
      </c>
      <c r="B70" s="319"/>
      <c r="C70" s="319"/>
      <c r="D70" s="319"/>
      <c r="E70" s="84">
        <v>2500</v>
      </c>
      <c r="F70" s="84" t="s">
        <v>9</v>
      </c>
      <c r="G70" s="84"/>
      <c r="H70" s="115">
        <f t="shared" si="0"/>
        <v>0</v>
      </c>
      <c r="I70" s="115">
        <f t="shared" si="0"/>
        <v>0</v>
      </c>
      <c r="J70" s="115">
        <f t="shared" si="0"/>
        <v>0</v>
      </c>
      <c r="K70" s="115"/>
      <c r="L70" s="115"/>
      <c r="M70" s="115"/>
      <c r="N70" s="115"/>
      <c r="O70" s="115"/>
      <c r="P70" s="115"/>
      <c r="Q70" s="115"/>
      <c r="R70" s="115"/>
      <c r="S70" s="115"/>
      <c r="T70" s="115"/>
      <c r="U70" s="115"/>
      <c r="V70" s="115"/>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28" customFormat="1" ht="53.25" customHeight="1" x14ac:dyDescent="0.25">
      <c r="A71" s="319" t="s">
        <v>138</v>
      </c>
      <c r="B71" s="319"/>
      <c r="C71" s="319"/>
      <c r="D71" s="319"/>
      <c r="E71" s="84">
        <v>2520</v>
      </c>
      <c r="F71" s="84">
        <v>831</v>
      </c>
      <c r="G71" s="84"/>
      <c r="H71" s="115">
        <f t="shared" si="0"/>
        <v>0</v>
      </c>
      <c r="I71" s="115">
        <f t="shared" si="0"/>
        <v>0</v>
      </c>
      <c r="J71" s="115">
        <f t="shared" si="0"/>
        <v>0</v>
      </c>
      <c r="K71" s="115"/>
      <c r="L71" s="115"/>
      <c r="M71" s="115"/>
      <c r="N71" s="115"/>
      <c r="O71" s="115"/>
      <c r="P71" s="115"/>
      <c r="Q71" s="115"/>
      <c r="R71" s="115"/>
      <c r="S71" s="115"/>
      <c r="T71" s="115"/>
      <c r="U71" s="115"/>
      <c r="V71" s="115"/>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28" customFormat="1" ht="36" customHeight="1" x14ac:dyDescent="0.25">
      <c r="A72" s="319" t="s">
        <v>139</v>
      </c>
      <c r="B72" s="319"/>
      <c r="C72" s="319"/>
      <c r="D72" s="319"/>
      <c r="E72" s="84">
        <v>2600</v>
      </c>
      <c r="F72" s="84" t="s">
        <v>9</v>
      </c>
      <c r="G72" s="84"/>
      <c r="H72" s="115">
        <f t="shared" si="0"/>
        <v>0</v>
      </c>
      <c r="I72" s="115">
        <f t="shared" si="0"/>
        <v>0</v>
      </c>
      <c r="J72" s="115">
        <f t="shared" si="0"/>
        <v>0</v>
      </c>
      <c r="K72" s="115"/>
      <c r="L72" s="115"/>
      <c r="M72" s="115"/>
      <c r="N72" s="115"/>
      <c r="O72" s="115"/>
      <c r="P72" s="115"/>
      <c r="Q72" s="115"/>
      <c r="R72" s="115"/>
      <c r="S72" s="115"/>
      <c r="T72" s="115"/>
      <c r="U72" s="115"/>
      <c r="V72" s="115"/>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28" customFormat="1" ht="21.75" customHeight="1" x14ac:dyDescent="0.25">
      <c r="A73" s="319" t="s">
        <v>140</v>
      </c>
      <c r="B73" s="319"/>
      <c r="C73" s="319"/>
      <c r="D73" s="319"/>
      <c r="E73" s="84">
        <v>2610</v>
      </c>
      <c r="F73" s="84">
        <v>241</v>
      </c>
      <c r="G73" s="84"/>
      <c r="H73" s="115">
        <f t="shared" si="0"/>
        <v>0</v>
      </c>
      <c r="I73" s="115">
        <f t="shared" si="0"/>
        <v>0</v>
      </c>
      <c r="J73" s="115">
        <f t="shared" si="0"/>
        <v>0</v>
      </c>
      <c r="K73" s="115"/>
      <c r="L73" s="115"/>
      <c r="M73" s="115"/>
      <c r="N73" s="115"/>
      <c r="O73" s="115"/>
      <c r="P73" s="115"/>
      <c r="Q73" s="115"/>
      <c r="R73" s="115"/>
      <c r="S73" s="115"/>
      <c r="T73" s="115"/>
      <c r="U73" s="115"/>
      <c r="V73" s="115"/>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28" customFormat="1" ht="35.25" customHeight="1" x14ac:dyDescent="0.25">
      <c r="A74" s="326" t="s">
        <v>141</v>
      </c>
      <c r="B74" s="327"/>
      <c r="C74" s="327"/>
      <c r="D74" s="328"/>
      <c r="E74" s="84">
        <v>2620</v>
      </c>
      <c r="F74" s="84">
        <v>242</v>
      </c>
      <c r="G74" s="84"/>
      <c r="H74" s="115">
        <f t="shared" si="0"/>
        <v>0</v>
      </c>
      <c r="I74" s="115">
        <f t="shared" si="0"/>
        <v>0</v>
      </c>
      <c r="J74" s="115">
        <f t="shared" si="0"/>
        <v>0</v>
      </c>
      <c r="K74" s="115"/>
      <c r="L74" s="115"/>
      <c r="M74" s="115"/>
      <c r="N74" s="115"/>
      <c r="O74" s="115"/>
      <c r="P74" s="115"/>
      <c r="Q74" s="115"/>
      <c r="R74" s="115"/>
      <c r="S74" s="115"/>
      <c r="T74" s="115"/>
      <c r="U74" s="115"/>
      <c r="V74" s="115"/>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28" customFormat="1" ht="42.75" customHeight="1" x14ac:dyDescent="0.25">
      <c r="A75" s="319" t="s">
        <v>263</v>
      </c>
      <c r="B75" s="319"/>
      <c r="C75" s="319"/>
      <c r="D75" s="319"/>
      <c r="E75" s="84">
        <v>2630</v>
      </c>
      <c r="F75" s="84">
        <v>243</v>
      </c>
      <c r="G75" s="84"/>
      <c r="H75" s="115">
        <f t="shared" si="0"/>
        <v>0</v>
      </c>
      <c r="I75" s="115">
        <f t="shared" si="0"/>
        <v>0</v>
      </c>
      <c r="J75" s="115">
        <f t="shared" si="0"/>
        <v>0</v>
      </c>
      <c r="K75" s="115"/>
      <c r="L75" s="115"/>
      <c r="M75" s="115"/>
      <c r="N75" s="115"/>
      <c r="O75" s="115"/>
      <c r="P75" s="115"/>
      <c r="Q75" s="115"/>
      <c r="R75" s="115"/>
      <c r="S75" s="115"/>
      <c r="T75" s="115"/>
      <c r="U75" s="115"/>
      <c r="V75" s="115"/>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28" customFormat="1" ht="19.5" customHeight="1" x14ac:dyDescent="0.25">
      <c r="A76" s="319" t="s">
        <v>142</v>
      </c>
      <c r="B76" s="319"/>
      <c r="C76" s="319"/>
      <c r="D76" s="319"/>
      <c r="E76" s="84">
        <v>2640</v>
      </c>
      <c r="F76" s="84">
        <v>244</v>
      </c>
      <c r="G76" s="84"/>
      <c r="H76" s="117">
        <f>K76+N76+Q76+T76</f>
        <v>0</v>
      </c>
      <c r="I76" s="117">
        <f t="shared" si="0"/>
        <v>0</v>
      </c>
      <c r="J76" s="117">
        <f t="shared" si="0"/>
        <v>0</v>
      </c>
      <c r="K76" s="117">
        <f>K78+K79+K80+K81+K82+K83+K84+K85+K86+K87+K88+K89+K90</f>
        <v>0</v>
      </c>
      <c r="L76" s="117">
        <f t="shared" ref="L76:V76" si="6">L78+L79+L80+L81+L82+L83+L84+L85+L86+L87+L88+L89+L90</f>
        <v>0</v>
      </c>
      <c r="M76" s="117">
        <f t="shared" si="6"/>
        <v>0</v>
      </c>
      <c r="N76" s="117">
        <f t="shared" si="6"/>
        <v>0</v>
      </c>
      <c r="O76" s="117">
        <f t="shared" si="6"/>
        <v>0</v>
      </c>
      <c r="P76" s="117">
        <f t="shared" si="6"/>
        <v>0</v>
      </c>
      <c r="Q76" s="117">
        <f t="shared" si="6"/>
        <v>0</v>
      </c>
      <c r="R76" s="117">
        <f t="shared" si="6"/>
        <v>0</v>
      </c>
      <c r="S76" s="117">
        <f t="shared" si="6"/>
        <v>0</v>
      </c>
      <c r="T76" s="117">
        <f t="shared" si="6"/>
        <v>0</v>
      </c>
      <c r="U76" s="117">
        <f t="shared" si="6"/>
        <v>0</v>
      </c>
      <c r="V76" s="117">
        <f t="shared" si="6"/>
        <v>0</v>
      </c>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28" customFormat="1" ht="19.5" customHeight="1" x14ac:dyDescent="0.25">
      <c r="A77" s="319" t="s">
        <v>37</v>
      </c>
      <c r="B77" s="319"/>
      <c r="C77" s="319"/>
      <c r="D77" s="319"/>
      <c r="E77" s="84"/>
      <c r="F77" s="84"/>
      <c r="G77" s="84"/>
      <c r="H77" s="115">
        <f t="shared" si="0"/>
        <v>0</v>
      </c>
      <c r="I77" s="115">
        <f t="shared" si="0"/>
        <v>0</v>
      </c>
      <c r="J77" s="115">
        <f t="shared" si="0"/>
        <v>0</v>
      </c>
      <c r="K77" s="115"/>
      <c r="L77" s="115"/>
      <c r="M77" s="115"/>
      <c r="N77" s="115"/>
      <c r="O77" s="115"/>
      <c r="P77" s="115"/>
      <c r="Q77" s="115"/>
      <c r="R77" s="115"/>
      <c r="S77" s="115"/>
      <c r="T77" s="115"/>
      <c r="U77" s="115"/>
      <c r="V77" s="115"/>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28" customFormat="1" ht="19.5" customHeight="1" x14ac:dyDescent="0.25">
      <c r="A78" s="271" t="s">
        <v>310</v>
      </c>
      <c r="B78" s="272"/>
      <c r="C78" s="272"/>
      <c r="D78" s="273"/>
      <c r="E78" s="109">
        <v>2641</v>
      </c>
      <c r="F78" s="109">
        <v>244</v>
      </c>
      <c r="G78" s="109">
        <v>221</v>
      </c>
      <c r="H78" s="115">
        <f t="shared" si="0"/>
        <v>0</v>
      </c>
      <c r="I78" s="115">
        <f t="shared" si="0"/>
        <v>0</v>
      </c>
      <c r="J78" s="115">
        <f t="shared" si="0"/>
        <v>0</v>
      </c>
      <c r="K78" s="115"/>
      <c r="L78" s="115"/>
      <c r="M78" s="115"/>
      <c r="N78" s="115"/>
      <c r="O78" s="115"/>
      <c r="P78" s="115"/>
      <c r="Q78" s="115"/>
      <c r="R78" s="115"/>
      <c r="S78" s="115"/>
      <c r="T78" s="115"/>
      <c r="U78" s="115"/>
      <c r="V78" s="115"/>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28" customFormat="1" ht="19.5" customHeight="1" x14ac:dyDescent="0.25">
      <c r="A79" s="271" t="s">
        <v>311</v>
      </c>
      <c r="B79" s="272"/>
      <c r="C79" s="272"/>
      <c r="D79" s="273"/>
      <c r="E79" s="109">
        <v>2642</v>
      </c>
      <c r="F79" s="109">
        <v>244</v>
      </c>
      <c r="G79" s="109">
        <v>222</v>
      </c>
      <c r="H79" s="115">
        <f t="shared" si="0"/>
        <v>0</v>
      </c>
      <c r="I79" s="115">
        <f t="shared" si="0"/>
        <v>0</v>
      </c>
      <c r="J79" s="115">
        <f t="shared" si="0"/>
        <v>0</v>
      </c>
      <c r="K79" s="115"/>
      <c r="L79" s="115"/>
      <c r="M79" s="115"/>
      <c r="N79" s="115"/>
      <c r="O79" s="115"/>
      <c r="P79" s="115"/>
      <c r="Q79" s="115"/>
      <c r="R79" s="115"/>
      <c r="S79" s="115"/>
      <c r="T79" s="115"/>
      <c r="U79" s="115"/>
      <c r="V79" s="115"/>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28" customFormat="1" ht="19.5" customHeight="1" x14ac:dyDescent="0.25">
      <c r="A80" s="271" t="s">
        <v>301</v>
      </c>
      <c r="B80" s="272"/>
      <c r="C80" s="272"/>
      <c r="D80" s="273"/>
      <c r="E80" s="109">
        <v>2643</v>
      </c>
      <c r="F80" s="109">
        <v>244</v>
      </c>
      <c r="G80" s="109" t="s">
        <v>297</v>
      </c>
      <c r="H80" s="115">
        <f t="shared" si="0"/>
        <v>0</v>
      </c>
      <c r="I80" s="115">
        <f t="shared" si="0"/>
        <v>0</v>
      </c>
      <c r="J80" s="115">
        <f t="shared" si="0"/>
        <v>0</v>
      </c>
      <c r="K80" s="115"/>
      <c r="L80" s="115"/>
      <c r="M80" s="115"/>
      <c r="N80" s="115"/>
      <c r="O80" s="115"/>
      <c r="P80" s="115"/>
      <c r="Q80" s="115"/>
      <c r="R80" s="115"/>
      <c r="S80" s="115"/>
      <c r="T80" s="115"/>
      <c r="U80" s="115"/>
      <c r="V80" s="115"/>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28" customFormat="1" ht="19.5" customHeight="1" x14ac:dyDescent="0.25">
      <c r="A81" s="271" t="s">
        <v>313</v>
      </c>
      <c r="B81" s="272"/>
      <c r="C81" s="272"/>
      <c r="D81" s="273"/>
      <c r="E81" s="109">
        <v>2644</v>
      </c>
      <c r="F81" s="109">
        <v>244</v>
      </c>
      <c r="G81" s="109" t="s">
        <v>298</v>
      </c>
      <c r="H81" s="115">
        <f t="shared" si="0"/>
        <v>0</v>
      </c>
      <c r="I81" s="115">
        <f t="shared" si="0"/>
        <v>0</v>
      </c>
      <c r="J81" s="115">
        <f t="shared" si="0"/>
        <v>0</v>
      </c>
      <c r="K81" s="115"/>
      <c r="L81" s="115"/>
      <c r="M81" s="115"/>
      <c r="N81" s="115"/>
      <c r="O81" s="115"/>
      <c r="P81" s="115"/>
      <c r="Q81" s="115"/>
      <c r="R81" s="115"/>
      <c r="S81" s="115"/>
      <c r="T81" s="115"/>
      <c r="U81" s="115"/>
      <c r="V81" s="115"/>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28" customFormat="1" ht="19.5" customHeight="1" x14ac:dyDescent="0.25">
      <c r="A82" s="271" t="s">
        <v>314</v>
      </c>
      <c r="B82" s="272"/>
      <c r="C82" s="272"/>
      <c r="D82" s="273"/>
      <c r="E82" s="109">
        <v>2645</v>
      </c>
      <c r="F82" s="109">
        <v>244</v>
      </c>
      <c r="G82" s="109" t="s">
        <v>299</v>
      </c>
      <c r="H82" s="115">
        <f t="shared" si="0"/>
        <v>0</v>
      </c>
      <c r="I82" s="115">
        <f t="shared" si="0"/>
        <v>0</v>
      </c>
      <c r="J82" s="115">
        <f t="shared" si="0"/>
        <v>0</v>
      </c>
      <c r="K82" s="115"/>
      <c r="L82" s="115"/>
      <c r="M82" s="115"/>
      <c r="N82" s="115"/>
      <c r="O82" s="115"/>
      <c r="P82" s="115"/>
      <c r="Q82" s="115"/>
      <c r="R82" s="115"/>
      <c r="S82" s="115"/>
      <c r="T82" s="115"/>
      <c r="U82" s="115"/>
      <c r="V82" s="115"/>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28" customFormat="1" ht="19.5" customHeight="1" x14ac:dyDescent="0.25">
      <c r="A83" s="271" t="s">
        <v>315</v>
      </c>
      <c r="B83" s="272"/>
      <c r="C83" s="272"/>
      <c r="D83" s="273"/>
      <c r="E83" s="109">
        <v>2646</v>
      </c>
      <c r="F83" s="109">
        <v>244</v>
      </c>
      <c r="G83" s="109">
        <v>225</v>
      </c>
      <c r="H83" s="115">
        <f t="shared" si="0"/>
        <v>0</v>
      </c>
      <c r="I83" s="115">
        <f t="shared" si="0"/>
        <v>0</v>
      </c>
      <c r="J83" s="115">
        <f t="shared" si="0"/>
        <v>0</v>
      </c>
      <c r="K83" s="115"/>
      <c r="L83" s="115"/>
      <c r="M83" s="115"/>
      <c r="N83" s="115"/>
      <c r="O83" s="115"/>
      <c r="P83" s="115"/>
      <c r="Q83" s="115"/>
      <c r="R83" s="115"/>
      <c r="S83" s="115"/>
      <c r="T83" s="115"/>
      <c r="U83" s="115"/>
      <c r="V83" s="115"/>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28" customFormat="1" ht="19.5" customHeight="1" x14ac:dyDescent="0.25">
      <c r="A84" s="271" t="s">
        <v>300</v>
      </c>
      <c r="B84" s="272"/>
      <c r="C84" s="272"/>
      <c r="D84" s="273"/>
      <c r="E84" s="109">
        <v>2647</v>
      </c>
      <c r="F84" s="109">
        <v>244</v>
      </c>
      <c r="G84" s="109">
        <v>226</v>
      </c>
      <c r="H84" s="115">
        <f t="shared" si="0"/>
        <v>0</v>
      </c>
      <c r="I84" s="115">
        <f t="shared" si="0"/>
        <v>0</v>
      </c>
      <c r="J84" s="115">
        <f t="shared" si="0"/>
        <v>0</v>
      </c>
      <c r="K84" s="115"/>
      <c r="L84" s="115"/>
      <c r="M84" s="115"/>
      <c r="N84" s="115"/>
      <c r="O84" s="115"/>
      <c r="P84" s="115"/>
      <c r="Q84" s="115"/>
      <c r="R84" s="115"/>
      <c r="S84" s="115"/>
      <c r="T84" s="115"/>
      <c r="U84" s="115"/>
      <c r="V84" s="115"/>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28" customFormat="1" ht="19.5" customHeight="1" x14ac:dyDescent="0.25">
      <c r="A85" s="271" t="s">
        <v>302</v>
      </c>
      <c r="B85" s="272"/>
      <c r="C85" s="272"/>
      <c r="D85" s="273"/>
      <c r="E85" s="109">
        <v>2648</v>
      </c>
      <c r="F85" s="109">
        <v>244</v>
      </c>
      <c r="G85" s="109">
        <v>227</v>
      </c>
      <c r="H85" s="115">
        <f t="shared" si="0"/>
        <v>0</v>
      </c>
      <c r="I85" s="115">
        <f t="shared" si="0"/>
        <v>0</v>
      </c>
      <c r="J85" s="115">
        <f t="shared" si="0"/>
        <v>0</v>
      </c>
      <c r="K85" s="115"/>
      <c r="L85" s="115"/>
      <c r="M85" s="115"/>
      <c r="N85" s="115"/>
      <c r="O85" s="115"/>
      <c r="P85" s="115"/>
      <c r="Q85" s="115"/>
      <c r="R85" s="115"/>
      <c r="S85" s="115"/>
      <c r="T85" s="115"/>
      <c r="U85" s="115"/>
      <c r="V85" s="115"/>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28" customFormat="1" ht="19.5" customHeight="1" x14ac:dyDescent="0.25">
      <c r="A86" s="271" t="s">
        <v>305</v>
      </c>
      <c r="B86" s="272"/>
      <c r="C86" s="272"/>
      <c r="D86" s="273"/>
      <c r="E86" s="109">
        <v>2649</v>
      </c>
      <c r="F86" s="109">
        <v>244</v>
      </c>
      <c r="G86" s="109">
        <v>310</v>
      </c>
      <c r="H86" s="115">
        <f t="shared" si="0"/>
        <v>0</v>
      </c>
      <c r="I86" s="115">
        <f t="shared" si="0"/>
        <v>0</v>
      </c>
      <c r="J86" s="115">
        <f t="shared" si="0"/>
        <v>0</v>
      </c>
      <c r="K86" s="115"/>
      <c r="L86" s="115"/>
      <c r="M86" s="115"/>
      <c r="N86" s="115"/>
      <c r="O86" s="115"/>
      <c r="P86" s="115"/>
      <c r="Q86" s="115"/>
      <c r="R86" s="115"/>
      <c r="S86" s="115"/>
      <c r="T86" s="115"/>
      <c r="U86" s="115"/>
      <c r="V86" s="115"/>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28" customFormat="1" ht="35.25" customHeight="1" x14ac:dyDescent="0.25">
      <c r="A87" s="271" t="s">
        <v>316</v>
      </c>
      <c r="B87" s="272"/>
      <c r="C87" s="272"/>
      <c r="D87" s="273"/>
      <c r="E87" s="109">
        <v>2650</v>
      </c>
      <c r="F87" s="109">
        <v>244</v>
      </c>
      <c r="G87" s="109">
        <v>341</v>
      </c>
      <c r="H87" s="119">
        <f t="shared" si="0"/>
        <v>0</v>
      </c>
      <c r="I87" s="119">
        <f t="shared" si="0"/>
        <v>0</v>
      </c>
      <c r="J87" s="119">
        <f t="shared" si="0"/>
        <v>0</v>
      </c>
      <c r="K87" s="119"/>
      <c r="L87" s="119"/>
      <c r="M87" s="119"/>
      <c r="N87" s="119"/>
      <c r="O87" s="119"/>
      <c r="P87" s="119"/>
      <c r="Q87" s="119"/>
      <c r="R87" s="119"/>
      <c r="S87" s="119"/>
      <c r="T87" s="119"/>
      <c r="U87" s="119"/>
      <c r="V87" s="119"/>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28" customFormat="1" ht="27" customHeight="1" x14ac:dyDescent="0.25">
      <c r="A88" s="271" t="s">
        <v>303</v>
      </c>
      <c r="B88" s="272"/>
      <c r="C88" s="272"/>
      <c r="D88" s="273"/>
      <c r="E88" s="109">
        <v>2651</v>
      </c>
      <c r="F88" s="109">
        <v>244</v>
      </c>
      <c r="G88" s="109">
        <v>343</v>
      </c>
      <c r="H88" s="115">
        <f t="shared" si="0"/>
        <v>0</v>
      </c>
      <c r="I88" s="115">
        <f t="shared" si="0"/>
        <v>0</v>
      </c>
      <c r="J88" s="115">
        <f t="shared" si="0"/>
        <v>0</v>
      </c>
      <c r="K88" s="115"/>
      <c r="L88" s="115"/>
      <c r="M88" s="115"/>
      <c r="N88" s="115"/>
      <c r="O88" s="115"/>
      <c r="P88" s="115"/>
      <c r="Q88" s="115"/>
      <c r="R88" s="115"/>
      <c r="S88" s="115"/>
      <c r="T88" s="115"/>
      <c r="U88" s="115"/>
      <c r="V88" s="115"/>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28" customFormat="1" ht="19.5" customHeight="1" x14ac:dyDescent="0.25">
      <c r="A89" s="271" t="s">
        <v>317</v>
      </c>
      <c r="B89" s="272"/>
      <c r="C89" s="272"/>
      <c r="D89" s="273"/>
      <c r="E89" s="109">
        <v>2652</v>
      </c>
      <c r="F89" s="109">
        <v>244</v>
      </c>
      <c r="G89" s="109">
        <v>345</v>
      </c>
      <c r="H89" s="115">
        <f t="shared" si="0"/>
        <v>0</v>
      </c>
      <c r="I89" s="115">
        <f t="shared" si="0"/>
        <v>0</v>
      </c>
      <c r="J89" s="115">
        <f t="shared" si="0"/>
        <v>0</v>
      </c>
      <c r="K89" s="115"/>
      <c r="L89" s="115"/>
      <c r="M89" s="115"/>
      <c r="N89" s="115"/>
      <c r="O89" s="115"/>
      <c r="P89" s="115"/>
      <c r="Q89" s="115"/>
      <c r="R89" s="115"/>
      <c r="S89" s="115"/>
      <c r="T89" s="115"/>
      <c r="U89" s="115"/>
      <c r="V89" s="115"/>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28" customFormat="1" ht="29.25" customHeight="1" x14ac:dyDescent="0.25">
      <c r="A90" s="271" t="s">
        <v>304</v>
      </c>
      <c r="B90" s="272"/>
      <c r="C90" s="272"/>
      <c r="D90" s="273"/>
      <c r="E90" s="109">
        <v>2653</v>
      </c>
      <c r="F90" s="109">
        <v>244</v>
      </c>
      <c r="G90" s="109">
        <v>346</v>
      </c>
      <c r="H90" s="115">
        <f t="shared" si="0"/>
        <v>0</v>
      </c>
      <c r="I90" s="115">
        <f t="shared" si="0"/>
        <v>0</v>
      </c>
      <c r="J90" s="115">
        <f t="shared" si="0"/>
        <v>0</v>
      </c>
      <c r="K90" s="115"/>
      <c r="L90" s="115"/>
      <c r="M90" s="115"/>
      <c r="N90" s="115"/>
      <c r="O90" s="115"/>
      <c r="P90" s="115"/>
      <c r="Q90" s="115"/>
      <c r="R90" s="115"/>
      <c r="S90" s="115"/>
      <c r="T90" s="115"/>
      <c r="U90" s="115"/>
      <c r="V90" s="115"/>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28" customFormat="1" ht="29.25" customHeight="1" x14ac:dyDescent="0.25">
      <c r="A91" s="313" t="s">
        <v>318</v>
      </c>
      <c r="B91" s="314"/>
      <c r="C91" s="314"/>
      <c r="D91" s="315"/>
      <c r="E91" s="109"/>
      <c r="F91" s="109">
        <v>244</v>
      </c>
      <c r="G91" s="109">
        <v>349</v>
      </c>
      <c r="H91" s="115">
        <f t="shared" si="0"/>
        <v>0</v>
      </c>
      <c r="I91" s="115">
        <f t="shared" si="0"/>
        <v>0</v>
      </c>
      <c r="J91" s="115">
        <f t="shared" si="0"/>
        <v>0</v>
      </c>
      <c r="K91" s="115"/>
      <c r="L91" s="115"/>
      <c r="M91" s="115"/>
      <c r="N91" s="115"/>
      <c r="O91" s="115"/>
      <c r="P91" s="115"/>
      <c r="Q91" s="115"/>
      <c r="R91" s="115"/>
      <c r="S91" s="115"/>
      <c r="T91" s="115"/>
      <c r="U91" s="115"/>
      <c r="V91" s="115"/>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28" customFormat="1" ht="32.25" customHeight="1" x14ac:dyDescent="0.25">
      <c r="A92" s="506" t="s">
        <v>264</v>
      </c>
      <c r="B92" s="506"/>
      <c r="C92" s="506"/>
      <c r="D92" s="506"/>
      <c r="E92" s="109">
        <v>2660</v>
      </c>
      <c r="F92" s="109">
        <v>400</v>
      </c>
      <c r="G92" s="109"/>
      <c r="H92" s="115">
        <f t="shared" si="0"/>
        <v>0</v>
      </c>
      <c r="I92" s="115">
        <f t="shared" si="0"/>
        <v>0</v>
      </c>
      <c r="J92" s="115">
        <f t="shared" si="0"/>
        <v>0</v>
      </c>
      <c r="K92" s="115"/>
      <c r="L92" s="115"/>
      <c r="M92" s="115"/>
      <c r="N92" s="115"/>
      <c r="O92" s="115"/>
      <c r="P92" s="115"/>
      <c r="Q92" s="115"/>
      <c r="R92" s="115"/>
      <c r="S92" s="115"/>
      <c r="T92" s="115"/>
      <c r="U92" s="115"/>
      <c r="V92" s="115"/>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28" customFormat="1" ht="43.5" customHeight="1" x14ac:dyDescent="0.25">
      <c r="A93" s="506" t="s">
        <v>265</v>
      </c>
      <c r="B93" s="506"/>
      <c r="C93" s="506"/>
      <c r="D93" s="506"/>
      <c r="E93" s="109">
        <v>2661</v>
      </c>
      <c r="F93" s="109">
        <v>406</v>
      </c>
      <c r="G93" s="109"/>
      <c r="H93" s="115">
        <f t="shared" si="0"/>
        <v>0</v>
      </c>
      <c r="I93" s="115">
        <f t="shared" si="0"/>
        <v>0</v>
      </c>
      <c r="J93" s="115">
        <f t="shared" si="0"/>
        <v>0</v>
      </c>
      <c r="K93" s="115"/>
      <c r="L93" s="115"/>
      <c r="M93" s="115"/>
      <c r="N93" s="115"/>
      <c r="O93" s="115"/>
      <c r="P93" s="115"/>
      <c r="Q93" s="115"/>
      <c r="R93" s="115"/>
      <c r="S93" s="115"/>
      <c r="T93" s="115"/>
      <c r="U93" s="115"/>
      <c r="V93" s="115"/>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28" customFormat="1" ht="34.5" customHeight="1" x14ac:dyDescent="0.25">
      <c r="A94" s="506" t="s">
        <v>266</v>
      </c>
      <c r="B94" s="506"/>
      <c r="C94" s="506"/>
      <c r="D94" s="506"/>
      <c r="E94" s="109">
        <v>2662</v>
      </c>
      <c r="F94" s="109">
        <v>407</v>
      </c>
      <c r="G94" s="109"/>
      <c r="H94" s="115">
        <f t="shared" si="0"/>
        <v>0</v>
      </c>
      <c r="I94" s="115">
        <f t="shared" si="0"/>
        <v>0</v>
      </c>
      <c r="J94" s="115">
        <f t="shared" si="0"/>
        <v>0</v>
      </c>
      <c r="K94" s="115"/>
      <c r="L94" s="115"/>
      <c r="M94" s="115"/>
      <c r="N94" s="115"/>
      <c r="O94" s="115"/>
      <c r="P94" s="115"/>
      <c r="Q94" s="115"/>
      <c r="R94" s="115"/>
      <c r="S94" s="115"/>
      <c r="T94" s="115"/>
      <c r="U94" s="115"/>
      <c r="V94" s="115"/>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28" customFormat="1" ht="19.5" customHeight="1" x14ac:dyDescent="0.25">
      <c r="A95" s="519" t="s">
        <v>143</v>
      </c>
      <c r="B95" s="519"/>
      <c r="C95" s="519"/>
      <c r="D95" s="519"/>
      <c r="E95" s="124">
        <v>3000</v>
      </c>
      <c r="F95" s="124">
        <v>100</v>
      </c>
      <c r="G95" s="124"/>
      <c r="H95" s="117">
        <f t="shared" si="0"/>
        <v>0</v>
      </c>
      <c r="I95" s="117">
        <f t="shared" si="0"/>
        <v>0</v>
      </c>
      <c r="J95" s="117">
        <f t="shared" si="0"/>
        <v>0</v>
      </c>
      <c r="K95" s="117"/>
      <c r="L95" s="117"/>
      <c r="M95" s="117"/>
      <c r="N95" s="117"/>
      <c r="O95" s="117"/>
      <c r="P95" s="117"/>
      <c r="Q95" s="117"/>
      <c r="R95" s="117"/>
      <c r="S95" s="117"/>
      <c r="T95" s="117"/>
      <c r="U95" s="117"/>
      <c r="V95" s="117"/>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row>
    <row r="96" spans="1:75" s="28" customFormat="1" ht="30.75" customHeight="1" x14ac:dyDescent="0.25">
      <c r="A96" s="506" t="s">
        <v>144</v>
      </c>
      <c r="B96" s="506"/>
      <c r="C96" s="506"/>
      <c r="D96" s="506"/>
      <c r="E96" s="109">
        <v>3010</v>
      </c>
      <c r="F96" s="109"/>
      <c r="G96" s="109"/>
      <c r="H96" s="115">
        <f t="shared" si="0"/>
        <v>0</v>
      </c>
      <c r="I96" s="115">
        <f t="shared" si="0"/>
        <v>0</v>
      </c>
      <c r="J96" s="115">
        <f t="shared" si="0"/>
        <v>0</v>
      </c>
      <c r="K96" s="115"/>
      <c r="L96" s="115"/>
      <c r="M96" s="115"/>
      <c r="N96" s="115"/>
      <c r="O96" s="115"/>
      <c r="P96" s="115"/>
      <c r="Q96" s="115"/>
      <c r="R96" s="115"/>
      <c r="S96" s="115"/>
      <c r="T96" s="115"/>
      <c r="U96" s="115"/>
      <c r="V96" s="115"/>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148" s="28" customFormat="1" ht="19.5" customHeight="1" x14ac:dyDescent="0.25">
      <c r="A97" s="319" t="s">
        <v>145</v>
      </c>
      <c r="B97" s="319"/>
      <c r="C97" s="319"/>
      <c r="D97" s="319"/>
      <c r="E97" s="84">
        <v>3020</v>
      </c>
      <c r="F97" s="84"/>
      <c r="G97" s="84"/>
      <c r="H97" s="115">
        <f t="shared" ref="H97:J100" si="7">K97+N97+Q97+T97</f>
        <v>0</v>
      </c>
      <c r="I97" s="115">
        <f t="shared" si="7"/>
        <v>0</v>
      </c>
      <c r="J97" s="115">
        <f t="shared" si="7"/>
        <v>0</v>
      </c>
      <c r="K97" s="115"/>
      <c r="L97" s="115"/>
      <c r="M97" s="115"/>
      <c r="N97" s="115"/>
      <c r="O97" s="115"/>
      <c r="P97" s="115"/>
      <c r="Q97" s="115"/>
      <c r="R97" s="115"/>
      <c r="S97" s="115"/>
      <c r="T97" s="115"/>
      <c r="U97" s="115"/>
      <c r="V97" s="115"/>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148" s="28" customFormat="1" ht="19.5" customHeight="1" x14ac:dyDescent="0.25">
      <c r="A98" s="319" t="s">
        <v>146</v>
      </c>
      <c r="B98" s="319"/>
      <c r="C98" s="319"/>
      <c r="D98" s="319"/>
      <c r="E98" s="84">
        <v>3030</v>
      </c>
      <c r="F98" s="84"/>
      <c r="G98" s="84"/>
      <c r="H98" s="115">
        <f t="shared" si="7"/>
        <v>0</v>
      </c>
      <c r="I98" s="115">
        <f t="shared" si="7"/>
        <v>0</v>
      </c>
      <c r="J98" s="115">
        <f t="shared" si="7"/>
        <v>0</v>
      </c>
      <c r="K98" s="115"/>
      <c r="L98" s="115"/>
      <c r="M98" s="115"/>
      <c r="N98" s="115"/>
      <c r="O98" s="115"/>
      <c r="P98" s="115"/>
      <c r="Q98" s="115"/>
      <c r="R98" s="115"/>
      <c r="S98" s="115"/>
      <c r="T98" s="115"/>
      <c r="U98" s="115"/>
      <c r="V98" s="115"/>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148" s="28" customFormat="1" ht="19.5" customHeight="1" x14ac:dyDescent="0.25">
      <c r="A99" s="472" t="s">
        <v>147</v>
      </c>
      <c r="B99" s="472"/>
      <c r="C99" s="472"/>
      <c r="D99" s="472"/>
      <c r="E99" s="85">
        <v>4000</v>
      </c>
      <c r="F99" s="85" t="s">
        <v>9</v>
      </c>
      <c r="G99" s="85"/>
      <c r="H99" s="117">
        <f t="shared" si="7"/>
        <v>0</v>
      </c>
      <c r="I99" s="117">
        <f t="shared" si="7"/>
        <v>0</v>
      </c>
      <c r="J99" s="117">
        <f t="shared" si="7"/>
        <v>0</v>
      </c>
      <c r="K99" s="117"/>
      <c r="L99" s="117"/>
      <c r="M99" s="117"/>
      <c r="N99" s="117"/>
      <c r="O99" s="117"/>
      <c r="P99" s="117"/>
      <c r="Q99" s="117"/>
      <c r="R99" s="117"/>
      <c r="S99" s="117"/>
      <c r="T99" s="117"/>
      <c r="U99" s="117"/>
      <c r="V99" s="117"/>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row>
    <row r="100" spans="1:148" s="28" customFormat="1" ht="26.25" customHeight="1" x14ac:dyDescent="0.25">
      <c r="A100" s="319" t="s">
        <v>148</v>
      </c>
      <c r="B100" s="319"/>
      <c r="C100" s="319"/>
      <c r="D100" s="319"/>
      <c r="E100" s="84">
        <v>4010</v>
      </c>
      <c r="F100" s="76">
        <v>610</v>
      </c>
      <c r="G100" s="84"/>
      <c r="H100" s="115">
        <f t="shared" si="7"/>
        <v>0</v>
      </c>
      <c r="I100" s="115">
        <f t="shared" si="7"/>
        <v>0</v>
      </c>
      <c r="J100" s="115">
        <f t="shared" si="7"/>
        <v>0</v>
      </c>
      <c r="K100" s="115"/>
      <c r="L100" s="115"/>
      <c r="M100" s="115"/>
      <c r="N100" s="115"/>
      <c r="O100" s="115"/>
      <c r="P100" s="115"/>
      <c r="Q100" s="115"/>
      <c r="R100" s="115"/>
      <c r="S100" s="115"/>
      <c r="T100" s="115"/>
      <c r="U100" s="115"/>
      <c r="V100" s="115"/>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148" s="28" customFormat="1" ht="19.5" customHeight="1" x14ac:dyDescent="0.25">
      <c r="A101" s="79"/>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148" s="70" customFormat="1" ht="20.25" customHeight="1" x14ac:dyDescent="0.25">
      <c r="A102" s="36" t="s">
        <v>225</v>
      </c>
      <c r="B102" s="14"/>
      <c r="C102" s="18"/>
      <c r="D102" s="103"/>
      <c r="E102" s="15"/>
      <c r="F102" s="18"/>
      <c r="G102" s="103"/>
      <c r="H102" s="29"/>
      <c r="I102" s="35"/>
      <c r="J102" s="18"/>
      <c r="K102" s="106" t="s">
        <v>280</v>
      </c>
      <c r="L102" s="106"/>
      <c r="M102" s="71"/>
      <c r="N102" s="71"/>
      <c r="O102" s="71"/>
      <c r="P102" s="71"/>
      <c r="Q102" s="71"/>
      <c r="R102" s="71"/>
      <c r="S102" s="71"/>
      <c r="T102" s="71"/>
      <c r="U102" s="71"/>
      <c r="V102" s="71"/>
    </row>
    <row r="103" spans="1:148" s="70" customFormat="1" ht="11.25" customHeight="1" x14ac:dyDescent="0.2">
      <c r="A103" s="37"/>
      <c r="B103" s="16" t="s">
        <v>30</v>
      </c>
      <c r="C103" s="517"/>
      <c r="D103" s="517"/>
      <c r="E103" s="16"/>
      <c r="F103" s="517"/>
      <c r="G103" s="517"/>
      <c r="H103" s="518" t="s">
        <v>31</v>
      </c>
      <c r="I103" s="518"/>
      <c r="J103" s="54"/>
      <c r="K103" s="524" t="s">
        <v>11</v>
      </c>
      <c r="L103" s="524"/>
      <c r="M103" s="71"/>
      <c r="N103" s="71"/>
      <c r="O103" s="71"/>
      <c r="P103" s="71"/>
      <c r="Q103" s="71"/>
      <c r="R103" s="71"/>
      <c r="S103" s="71"/>
      <c r="T103" s="71"/>
      <c r="U103" s="71"/>
      <c r="V103" s="71"/>
    </row>
    <row r="104" spans="1:148" s="70" customFormat="1" ht="23.25" customHeight="1" x14ac:dyDescent="0.25">
      <c r="A104" s="36" t="s">
        <v>251</v>
      </c>
      <c r="B104" s="14"/>
      <c r="C104" s="18"/>
      <c r="D104" s="103"/>
      <c r="E104" s="15"/>
      <c r="F104" s="18"/>
      <c r="G104" s="103"/>
      <c r="H104" s="29"/>
      <c r="I104" s="35"/>
      <c r="J104" s="18"/>
      <c r="K104" s="106" t="s">
        <v>282</v>
      </c>
      <c r="L104" s="106"/>
      <c r="M104" s="71"/>
      <c r="N104" s="71"/>
      <c r="O104" s="71"/>
      <c r="P104" s="71"/>
      <c r="Q104" s="71"/>
      <c r="R104" s="71"/>
      <c r="S104" s="71"/>
      <c r="T104" s="71"/>
      <c r="U104" s="71"/>
      <c r="V104" s="71"/>
    </row>
    <row r="105" spans="1:148" s="70" customFormat="1" ht="20.25" customHeight="1" x14ac:dyDescent="0.2">
      <c r="A105" s="31"/>
      <c r="B105" s="16"/>
      <c r="C105" s="520"/>
      <c r="D105" s="520"/>
      <c r="E105" s="16"/>
      <c r="F105" s="520"/>
      <c r="G105" s="520"/>
      <c r="H105" s="521" t="s">
        <v>31</v>
      </c>
      <c r="I105" s="521"/>
      <c r="J105" s="54"/>
      <c r="K105" s="524" t="s">
        <v>11</v>
      </c>
      <c r="L105" s="524"/>
      <c r="M105" s="71"/>
      <c r="N105" s="71"/>
      <c r="O105" s="71"/>
      <c r="P105" s="71"/>
      <c r="Q105" s="71"/>
      <c r="R105" s="71"/>
      <c r="S105" s="71"/>
      <c r="T105" s="71"/>
      <c r="U105" s="71"/>
      <c r="V105" s="71"/>
    </row>
    <row r="106" spans="1:148" s="70" customFormat="1" ht="20.25" customHeight="1" x14ac:dyDescent="0.2">
      <c r="A106" s="31"/>
      <c r="B106" s="521" t="s">
        <v>248</v>
      </c>
      <c r="C106" s="521"/>
      <c r="D106" s="75"/>
      <c r="E106" s="16"/>
      <c r="F106" s="75"/>
      <c r="G106" s="75"/>
      <c r="H106" s="74"/>
      <c r="I106" s="74"/>
      <c r="J106" s="54"/>
      <c r="K106" s="107"/>
      <c r="L106" s="107"/>
      <c r="M106" s="71"/>
      <c r="N106" s="71"/>
      <c r="O106" s="71"/>
      <c r="P106" s="71"/>
      <c r="Q106" s="71"/>
      <c r="R106" s="71"/>
      <c r="S106" s="71"/>
      <c r="T106" s="71"/>
      <c r="U106" s="71"/>
      <c r="V106" s="71"/>
    </row>
    <row r="107" spans="1:148" s="70" customFormat="1" ht="24" customHeight="1" x14ac:dyDescent="0.25">
      <c r="A107" s="36" t="s">
        <v>228</v>
      </c>
      <c r="B107" s="14"/>
      <c r="C107" s="18"/>
      <c r="D107" s="103"/>
      <c r="E107" s="15"/>
      <c r="F107" s="18"/>
      <c r="G107" s="103"/>
      <c r="H107" s="29"/>
      <c r="I107" s="35"/>
      <c r="J107" s="18"/>
      <c r="K107" s="106" t="s">
        <v>282</v>
      </c>
      <c r="L107" s="106"/>
      <c r="M107" s="71"/>
      <c r="N107" s="71"/>
      <c r="O107" s="71"/>
      <c r="P107" s="71"/>
      <c r="Q107" s="71"/>
      <c r="R107" s="71"/>
      <c r="S107" s="71"/>
      <c r="T107" s="71"/>
      <c r="U107" s="71"/>
      <c r="V107" s="71"/>
    </row>
    <row r="108" spans="1:148" s="70" customFormat="1" ht="22.5" customHeight="1" x14ac:dyDescent="0.2">
      <c r="A108" s="31"/>
      <c r="B108" s="16"/>
      <c r="C108" s="520"/>
      <c r="D108" s="520"/>
      <c r="E108" s="16"/>
      <c r="F108" s="520"/>
      <c r="G108" s="520"/>
      <c r="H108" s="521" t="s">
        <v>31</v>
      </c>
      <c r="I108" s="521"/>
      <c r="J108" s="54"/>
      <c r="K108" s="522" t="s">
        <v>11</v>
      </c>
      <c r="L108" s="522"/>
      <c r="M108" s="71"/>
      <c r="N108" s="71"/>
      <c r="O108" s="71"/>
      <c r="P108" s="71"/>
      <c r="Q108" s="71"/>
      <c r="R108" s="71"/>
      <c r="S108" s="71"/>
      <c r="T108" s="71"/>
      <c r="U108" s="71"/>
      <c r="V108" s="71"/>
    </row>
    <row r="109" spans="1:148" s="70" customFormat="1" ht="9.75" customHeight="1" x14ac:dyDescent="0.2">
      <c r="A109" s="102"/>
      <c r="B109" s="523"/>
      <c r="C109" s="523"/>
      <c r="D109" s="102"/>
      <c r="E109" s="71"/>
      <c r="F109" s="71"/>
      <c r="G109" s="71"/>
      <c r="H109" s="71"/>
      <c r="I109" s="71"/>
      <c r="J109" s="71"/>
      <c r="K109" s="71"/>
      <c r="L109" s="71"/>
      <c r="M109" s="71"/>
      <c r="N109" s="71"/>
      <c r="O109" s="71"/>
      <c r="P109" s="71"/>
      <c r="Q109" s="71"/>
      <c r="R109" s="71"/>
      <c r="S109" s="71"/>
      <c r="T109" s="71"/>
      <c r="U109" s="71"/>
      <c r="V109" s="71"/>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row>
    <row r="110" spans="1:148" s="70" customFormat="1" ht="10.5" customHeight="1" x14ac:dyDescent="0.2">
      <c r="A110" s="256" t="s">
        <v>149</v>
      </c>
      <c r="B110" s="256"/>
      <c r="C110" s="256"/>
      <c r="D110" s="256"/>
      <c r="E110" s="256"/>
      <c r="F110" s="256"/>
      <c r="G110" s="256"/>
      <c r="H110" s="256"/>
      <c r="I110" s="256"/>
      <c r="J110" s="256"/>
      <c r="K110" s="256"/>
      <c r="L110" s="256"/>
      <c r="M110" s="256"/>
      <c r="N110" s="256"/>
    </row>
    <row r="111" spans="1:148" s="70" customFormat="1" ht="14.25" customHeight="1" x14ac:dyDescent="0.2">
      <c r="A111" s="256" t="s">
        <v>268</v>
      </c>
      <c r="B111" s="256"/>
      <c r="C111" s="256"/>
      <c r="D111" s="256"/>
      <c r="E111" s="256"/>
      <c r="F111" s="256"/>
      <c r="G111" s="256"/>
      <c r="H111" s="256"/>
      <c r="I111" s="256"/>
      <c r="J111" s="256"/>
      <c r="K111" s="256"/>
      <c r="L111" s="256"/>
      <c r="M111" s="256"/>
      <c r="N111" s="256"/>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row>
    <row r="112" spans="1:148" s="70" customFormat="1" ht="12" customHeight="1" x14ac:dyDescent="0.2">
      <c r="A112" s="256" t="s">
        <v>150</v>
      </c>
      <c r="B112" s="256"/>
      <c r="C112" s="256"/>
      <c r="D112" s="256"/>
      <c r="E112" s="256"/>
      <c r="F112" s="256"/>
      <c r="G112" s="256"/>
      <c r="H112" s="256"/>
      <c r="I112" s="256"/>
      <c r="J112" s="256"/>
      <c r="K112" s="256"/>
      <c r="L112" s="256"/>
      <c r="M112" s="256"/>
      <c r="N112" s="256"/>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row>
    <row r="113" spans="1:148" s="70" customFormat="1" ht="17.25" customHeight="1" x14ac:dyDescent="0.2">
      <c r="A113" s="262" t="s">
        <v>151</v>
      </c>
      <c r="B113" s="262"/>
      <c r="C113" s="262"/>
      <c r="D113" s="262"/>
      <c r="E113" s="262"/>
      <c r="F113" s="262"/>
      <c r="G113" s="262"/>
      <c r="H113" s="262"/>
      <c r="I113" s="262"/>
      <c r="J113" s="262"/>
      <c r="K113" s="262"/>
      <c r="L113" s="262"/>
      <c r="M113" s="262"/>
      <c r="N113" s="262"/>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row>
    <row r="114" spans="1:148" s="70" customFormat="1" ht="11.25" customHeight="1" x14ac:dyDescent="0.2">
      <c r="A114" s="262" t="s">
        <v>152</v>
      </c>
      <c r="B114" s="262"/>
      <c r="C114" s="262"/>
      <c r="D114" s="262"/>
      <c r="E114" s="262"/>
      <c r="F114" s="262"/>
      <c r="G114" s="262"/>
      <c r="H114" s="262"/>
      <c r="I114" s="262"/>
      <c r="J114" s="262"/>
      <c r="K114" s="262"/>
      <c r="L114" s="262"/>
      <c r="M114" s="262"/>
      <c r="N114" s="262"/>
    </row>
    <row r="115" spans="1:148" s="70" customFormat="1" ht="11.25" customHeight="1" x14ac:dyDescent="0.2">
      <c r="A115" s="262" t="s">
        <v>153</v>
      </c>
      <c r="B115" s="262"/>
      <c r="C115" s="262"/>
      <c r="D115" s="262"/>
      <c r="E115" s="262"/>
      <c r="F115" s="262"/>
      <c r="G115" s="262"/>
      <c r="H115" s="262"/>
      <c r="I115" s="262"/>
      <c r="J115" s="262"/>
      <c r="K115" s="262"/>
      <c r="L115" s="262"/>
      <c r="M115" s="262"/>
      <c r="N115" s="262"/>
    </row>
    <row r="116" spans="1:148" s="70" customFormat="1" ht="28.5" customHeight="1" x14ac:dyDescent="0.2">
      <c r="A116" s="262" t="s">
        <v>154</v>
      </c>
      <c r="B116" s="262"/>
      <c r="C116" s="262"/>
      <c r="D116" s="262"/>
      <c r="E116" s="262"/>
      <c r="F116" s="262"/>
      <c r="G116" s="262"/>
      <c r="H116" s="262"/>
      <c r="I116" s="262"/>
      <c r="J116" s="262"/>
      <c r="K116" s="262"/>
      <c r="L116" s="262"/>
      <c r="M116" s="262"/>
      <c r="N116" s="262"/>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row>
    <row r="117" spans="1:148" s="28" customFormat="1" ht="12.75" customHeight="1" x14ac:dyDescent="0.25">
      <c r="A117" s="262" t="s">
        <v>267</v>
      </c>
      <c r="B117" s="262"/>
      <c r="C117" s="262"/>
      <c r="D117" s="262"/>
      <c r="E117" s="262"/>
      <c r="F117" s="262"/>
      <c r="G117" s="262"/>
      <c r="H117" s="262"/>
      <c r="I117" s="262"/>
      <c r="J117" s="262"/>
      <c r="K117" s="262"/>
      <c r="L117" s="262"/>
      <c r="M117" s="262"/>
      <c r="N117" s="262"/>
      <c r="O117" s="70"/>
      <c r="P117" s="70"/>
      <c r="Q117" s="70"/>
      <c r="R117" s="70"/>
      <c r="S117" s="70"/>
      <c r="T117" s="70"/>
      <c r="U117" s="70"/>
      <c r="V117" s="70"/>
    </row>
    <row r="118" spans="1:148" s="28" customFormat="1" ht="41.25" customHeight="1" x14ac:dyDescent="0.25">
      <c r="A118" s="262" t="s">
        <v>155</v>
      </c>
      <c r="B118" s="262"/>
      <c r="C118" s="262"/>
      <c r="D118" s="262"/>
      <c r="E118" s="262"/>
      <c r="F118" s="262"/>
      <c r="G118" s="262"/>
      <c r="H118" s="262"/>
      <c r="I118" s="262"/>
      <c r="J118" s="262"/>
      <c r="K118" s="262"/>
      <c r="L118" s="262"/>
      <c r="M118" s="262"/>
      <c r="N118" s="262"/>
      <c r="O118" s="78"/>
      <c r="P118" s="78"/>
      <c r="Q118" s="78"/>
      <c r="R118" s="78"/>
      <c r="S118" s="78"/>
      <c r="T118" s="78"/>
      <c r="U118" s="78"/>
      <c r="V118" s="78"/>
    </row>
    <row r="119" spans="1:148" s="28" customFormat="1" ht="30" customHeight="1" x14ac:dyDescent="0.25">
      <c r="A119" s="262" t="s">
        <v>260</v>
      </c>
      <c r="B119" s="262"/>
      <c r="C119" s="262"/>
      <c r="D119" s="262"/>
      <c r="E119" s="262"/>
      <c r="F119" s="262"/>
      <c r="G119" s="262"/>
      <c r="H119" s="262"/>
      <c r="I119" s="262"/>
      <c r="J119" s="262"/>
      <c r="K119" s="78"/>
      <c r="L119" s="78"/>
      <c r="M119" s="78"/>
      <c r="N119" s="78"/>
      <c r="O119" s="78"/>
      <c r="P119" s="78"/>
      <c r="Q119" s="78"/>
      <c r="R119" s="78"/>
      <c r="S119" s="78"/>
      <c r="T119" s="78"/>
      <c r="U119" s="78"/>
      <c r="V119" s="78"/>
    </row>
    <row r="120" spans="1:148" s="28" customFormat="1" ht="39.75" customHeight="1" x14ac:dyDescent="0.25">
      <c r="A120" s="262" t="s">
        <v>156</v>
      </c>
      <c r="B120" s="262"/>
      <c r="C120" s="262"/>
      <c r="D120" s="262"/>
      <c r="E120" s="262"/>
      <c r="F120" s="262"/>
      <c r="G120" s="262"/>
      <c r="H120" s="262"/>
      <c r="I120" s="262"/>
      <c r="J120" s="262"/>
      <c r="K120" s="262"/>
      <c r="L120" s="262"/>
      <c r="M120" s="262"/>
      <c r="N120" s="262"/>
      <c r="O120" s="78"/>
      <c r="P120" s="78"/>
      <c r="Q120" s="78"/>
      <c r="R120" s="78"/>
      <c r="S120" s="78"/>
      <c r="T120" s="78"/>
      <c r="U120" s="78"/>
      <c r="V120" s="78"/>
    </row>
    <row r="121" spans="1:148" s="28" customFormat="1" ht="19.5" customHeight="1" x14ac:dyDescent="0.25">
      <c r="A121" s="262" t="s">
        <v>157</v>
      </c>
      <c r="B121" s="262"/>
      <c r="C121" s="262"/>
      <c r="D121" s="262"/>
      <c r="E121" s="262"/>
      <c r="F121" s="262"/>
      <c r="G121" s="262"/>
      <c r="H121" s="262"/>
      <c r="I121" s="262"/>
      <c r="J121" s="262"/>
      <c r="K121" s="262"/>
      <c r="L121" s="262"/>
      <c r="M121" s="262"/>
      <c r="N121" s="262"/>
      <c r="O121" s="70"/>
      <c r="P121" s="70"/>
      <c r="Q121" s="70"/>
      <c r="R121" s="70"/>
      <c r="S121" s="70"/>
      <c r="T121" s="70"/>
      <c r="U121" s="70"/>
      <c r="V121" s="70"/>
    </row>
    <row r="122" spans="1:148" s="28" customFormat="1" ht="19.5" customHeight="1" x14ac:dyDescent="0.25">
      <c r="A122" s="262" t="s">
        <v>158</v>
      </c>
      <c r="B122" s="262"/>
      <c r="C122" s="262"/>
      <c r="D122" s="262"/>
      <c r="E122" s="262"/>
      <c r="F122" s="262"/>
      <c r="G122" s="262"/>
      <c r="H122" s="262"/>
      <c r="I122" s="262"/>
      <c r="J122" s="262"/>
      <c r="K122" s="262"/>
      <c r="L122" s="262"/>
      <c r="M122" s="262"/>
      <c r="N122" s="262"/>
      <c r="O122" s="70"/>
      <c r="P122" s="70"/>
      <c r="Q122" s="70"/>
      <c r="R122" s="70"/>
      <c r="S122" s="70"/>
      <c r="T122" s="70"/>
      <c r="U122" s="70"/>
      <c r="V122" s="70"/>
    </row>
    <row r="123" spans="1:148" s="28" customFormat="1" ht="40.5" customHeight="1" x14ac:dyDescent="0.25">
      <c r="A123" s="262" t="s">
        <v>159</v>
      </c>
      <c r="B123" s="262"/>
      <c r="C123" s="262"/>
      <c r="D123" s="262"/>
      <c r="E123" s="262"/>
      <c r="F123" s="262"/>
      <c r="G123" s="262"/>
      <c r="H123" s="262"/>
      <c r="I123" s="262"/>
      <c r="J123" s="262"/>
      <c r="K123" s="262"/>
      <c r="L123" s="262"/>
      <c r="M123" s="262"/>
      <c r="N123" s="262"/>
      <c r="O123" s="78"/>
      <c r="P123" s="78"/>
      <c r="Q123" s="78"/>
      <c r="R123" s="78"/>
      <c r="S123" s="78"/>
      <c r="T123" s="78"/>
      <c r="U123" s="78"/>
      <c r="V123" s="78"/>
    </row>
    <row r="124" spans="1:148" s="28" customFormat="1" ht="19.5" customHeight="1" x14ac:dyDescent="0.25">
      <c r="A124" s="28" t="s">
        <v>323</v>
      </c>
      <c r="H124" s="108">
        <f>H13+H15-H41</f>
        <v>0</v>
      </c>
      <c r="I124" s="108">
        <f>I13+I15-I41</f>
        <v>0</v>
      </c>
      <c r="J124" s="108">
        <f>J13+J15-J41</f>
        <v>0</v>
      </c>
      <c r="K124" s="108">
        <f t="shared" ref="K124:V124" si="8">K13+K15-K41</f>
        <v>0</v>
      </c>
      <c r="L124" s="108">
        <f t="shared" si="8"/>
        <v>0</v>
      </c>
      <c r="M124" s="108">
        <f t="shared" si="8"/>
        <v>0</v>
      </c>
      <c r="N124" s="108">
        <f t="shared" si="8"/>
        <v>0</v>
      </c>
      <c r="O124" s="108">
        <f t="shared" si="8"/>
        <v>0</v>
      </c>
      <c r="P124" s="108">
        <f t="shared" si="8"/>
        <v>0</v>
      </c>
      <c r="Q124" s="108">
        <f t="shared" si="8"/>
        <v>0</v>
      </c>
      <c r="R124" s="108">
        <f t="shared" si="8"/>
        <v>0</v>
      </c>
      <c r="S124" s="108">
        <f t="shared" si="8"/>
        <v>0</v>
      </c>
      <c r="T124" s="108">
        <f t="shared" si="8"/>
        <v>0</v>
      </c>
      <c r="U124" s="108">
        <f t="shared" si="8"/>
        <v>0</v>
      </c>
      <c r="V124" s="28">
        <f t="shared" si="8"/>
        <v>0</v>
      </c>
    </row>
    <row r="125" spans="1:148" s="28" customFormat="1" ht="19.5" customHeight="1" x14ac:dyDescent="0.25">
      <c r="K125" s="108"/>
      <c r="L125" s="108"/>
      <c r="M125" s="108"/>
      <c r="N125" s="108"/>
      <c r="O125" s="108"/>
      <c r="P125" s="108"/>
      <c r="Q125" s="108"/>
      <c r="R125" s="108"/>
      <c r="S125" s="108"/>
      <c r="T125" s="108"/>
      <c r="U125" s="108"/>
    </row>
    <row r="126" spans="1:148" s="28" customFormat="1" ht="19.5" customHeight="1" x14ac:dyDescent="0.25"/>
    <row r="127" spans="1:148" s="28" customFormat="1" ht="19.5" customHeight="1" x14ac:dyDescent="0.25"/>
    <row r="128" spans="1:148" s="28" customFormat="1" ht="19.5" customHeight="1" x14ac:dyDescent="0.25"/>
    <row r="129" s="28" customFormat="1" ht="19.5" customHeight="1" x14ac:dyDescent="0.25"/>
    <row r="130" s="28" customFormat="1" ht="19.5" customHeight="1" x14ac:dyDescent="0.25"/>
    <row r="131" s="28" customFormat="1" ht="19.5" customHeight="1" x14ac:dyDescent="0.25"/>
    <row r="132" s="28" customFormat="1" ht="19.5" customHeight="1" x14ac:dyDescent="0.25"/>
    <row r="133" s="28" customFormat="1" ht="19.5" customHeight="1" x14ac:dyDescent="0.25"/>
    <row r="134" s="28" customFormat="1" ht="19.5" customHeight="1" x14ac:dyDescent="0.25"/>
    <row r="135" s="28" customFormat="1" ht="19.5" customHeight="1" x14ac:dyDescent="0.25"/>
    <row r="136" s="28" customFormat="1" ht="19.5" customHeight="1" x14ac:dyDescent="0.25"/>
    <row r="137" s="28" customFormat="1" ht="19.5" customHeight="1" x14ac:dyDescent="0.25"/>
    <row r="138" s="28" customFormat="1" ht="19.5" customHeight="1" x14ac:dyDescent="0.25"/>
    <row r="139" s="28" customFormat="1" ht="19.5" customHeight="1" x14ac:dyDescent="0.25"/>
    <row r="140" s="28" customFormat="1" ht="19.5" customHeight="1" x14ac:dyDescent="0.25"/>
    <row r="141" s="28" customFormat="1" ht="19.5" customHeight="1" x14ac:dyDescent="0.25"/>
    <row r="142" s="28" customFormat="1" ht="19.5" customHeight="1" x14ac:dyDescent="0.25"/>
    <row r="143" s="28" customFormat="1" ht="19.5" customHeight="1" x14ac:dyDescent="0.25"/>
    <row r="144" s="28" customFormat="1" ht="19.5" customHeight="1" x14ac:dyDescent="0.25"/>
    <row r="145" s="28" customFormat="1" ht="19.5" customHeight="1" x14ac:dyDescent="0.25"/>
    <row r="146" s="28" customFormat="1" ht="19.5" customHeight="1" x14ac:dyDescent="0.25"/>
    <row r="147" s="28" customFormat="1" ht="19.5" customHeight="1" x14ac:dyDescent="0.25"/>
    <row r="148" s="28" customFormat="1" ht="19.5" customHeight="1" x14ac:dyDescent="0.25"/>
    <row r="149" s="28" customFormat="1" ht="19.5" customHeight="1" x14ac:dyDescent="0.25"/>
    <row r="150" s="28" customFormat="1" ht="19.5" customHeight="1" x14ac:dyDescent="0.25"/>
    <row r="151" s="28" customFormat="1" ht="19.5" customHeight="1" x14ac:dyDescent="0.25"/>
    <row r="152" s="28" customFormat="1" ht="19.5" customHeight="1" x14ac:dyDescent="0.25"/>
    <row r="153" s="28" customFormat="1" ht="19.5" customHeight="1" x14ac:dyDescent="0.25"/>
    <row r="154" s="28" customFormat="1" ht="19.5" customHeight="1" x14ac:dyDescent="0.25"/>
    <row r="155" s="28" customFormat="1" ht="19.5" customHeight="1" x14ac:dyDescent="0.25"/>
    <row r="156" s="28" customFormat="1" ht="19.5" customHeight="1" x14ac:dyDescent="0.25"/>
    <row r="157" s="28" customFormat="1" ht="19.5" customHeight="1" x14ac:dyDescent="0.25"/>
    <row r="158" s="28" customFormat="1" ht="19.5" customHeight="1" x14ac:dyDescent="0.25"/>
    <row r="159" s="28" customFormat="1" ht="19.5" customHeight="1" x14ac:dyDescent="0.25"/>
    <row r="160" s="28" customFormat="1" ht="19.5" customHeight="1" x14ac:dyDescent="0.25"/>
    <row r="161" s="28" customFormat="1" ht="19.5" customHeight="1" x14ac:dyDescent="0.25"/>
    <row r="162" s="28" customFormat="1" ht="19.5" customHeight="1" x14ac:dyDescent="0.25"/>
    <row r="163" s="28" customFormat="1" ht="19.5" customHeight="1" x14ac:dyDescent="0.25"/>
    <row r="164" s="28" customFormat="1" ht="19.5" customHeight="1" x14ac:dyDescent="0.25"/>
    <row r="165" s="28" customFormat="1" ht="19.5" customHeight="1" x14ac:dyDescent="0.25"/>
    <row r="166" s="28" customFormat="1" ht="19.5" customHeight="1" x14ac:dyDescent="0.25"/>
    <row r="167" s="28" customFormat="1" ht="19.5" customHeight="1" x14ac:dyDescent="0.25"/>
    <row r="168" s="28" customFormat="1" ht="19.5" customHeight="1" x14ac:dyDescent="0.25"/>
    <row r="169" s="28" customFormat="1" ht="19.5" customHeight="1" x14ac:dyDescent="0.25"/>
    <row r="170" s="28" customFormat="1" ht="19.5" customHeight="1" x14ac:dyDescent="0.25"/>
    <row r="171" s="28" customFormat="1" ht="19.5" customHeight="1" x14ac:dyDescent="0.25"/>
    <row r="172" s="28" customFormat="1" ht="19.5" customHeight="1" x14ac:dyDescent="0.25"/>
    <row r="173" s="28" customFormat="1" ht="19.5" customHeight="1" x14ac:dyDescent="0.25"/>
    <row r="174" s="28" customFormat="1" ht="19.5" customHeight="1" x14ac:dyDescent="0.25"/>
    <row r="175" s="28" customFormat="1" ht="19.5" customHeight="1" x14ac:dyDescent="0.25"/>
    <row r="176" s="28" customFormat="1" ht="19.5" customHeight="1" x14ac:dyDescent="0.25"/>
    <row r="177" s="28" customFormat="1" ht="19.5" customHeight="1" x14ac:dyDescent="0.25"/>
    <row r="178" s="28" customFormat="1" ht="19.5" customHeight="1" x14ac:dyDescent="0.25"/>
    <row r="179" s="28" customFormat="1" ht="19.5" customHeight="1" x14ac:dyDescent="0.25"/>
    <row r="180" s="28" customFormat="1" ht="19.5" customHeight="1" x14ac:dyDescent="0.25"/>
    <row r="181" s="28" customFormat="1" ht="19.5" customHeight="1" x14ac:dyDescent="0.25"/>
    <row r="182" s="28" customFormat="1" ht="19.5" customHeight="1" x14ac:dyDescent="0.25"/>
    <row r="183" s="28" customFormat="1" ht="19.5" customHeight="1" x14ac:dyDescent="0.25"/>
    <row r="184" s="28" customFormat="1" ht="19.5" customHeight="1" x14ac:dyDescent="0.25"/>
    <row r="185" s="28" customFormat="1" ht="19.5" customHeight="1" x14ac:dyDescent="0.25"/>
    <row r="186" s="28" customFormat="1" ht="19.5" customHeight="1" x14ac:dyDescent="0.25"/>
    <row r="187" s="28" customFormat="1" ht="19.5" customHeight="1" x14ac:dyDescent="0.25"/>
    <row r="188" s="28" customFormat="1" ht="19.5" customHeight="1" x14ac:dyDescent="0.25"/>
    <row r="189" s="28" customFormat="1" ht="19.5" customHeight="1" x14ac:dyDescent="0.25"/>
    <row r="190" s="28" customFormat="1" ht="19.5" customHeight="1" x14ac:dyDescent="0.25"/>
    <row r="191" s="28" customFormat="1" ht="19.5" customHeight="1" x14ac:dyDescent="0.25"/>
    <row r="192" s="28" customFormat="1" ht="19.5" customHeight="1" x14ac:dyDescent="0.25"/>
    <row r="193" s="28" customFormat="1" ht="19.5" customHeight="1" x14ac:dyDescent="0.25"/>
    <row r="194" s="28" customFormat="1" ht="19.5" customHeight="1" x14ac:dyDescent="0.25"/>
    <row r="195" s="28" customFormat="1" ht="19.5" customHeight="1" x14ac:dyDescent="0.25"/>
    <row r="196" s="28" customFormat="1" ht="19.5" customHeight="1" x14ac:dyDescent="0.25"/>
    <row r="197" s="28" customFormat="1" ht="19.5" customHeight="1" x14ac:dyDescent="0.25"/>
    <row r="198" s="28" customFormat="1" ht="19.5" customHeight="1" x14ac:dyDescent="0.25"/>
    <row r="199" s="28" customFormat="1" ht="19.5" customHeight="1" x14ac:dyDescent="0.25"/>
    <row r="200" s="28" customFormat="1" ht="19.5" customHeight="1" x14ac:dyDescent="0.25"/>
    <row r="201" s="28" customFormat="1" ht="19.5" customHeight="1" x14ac:dyDescent="0.25"/>
    <row r="202" s="28" customFormat="1" ht="19.5" customHeight="1" x14ac:dyDescent="0.25"/>
    <row r="203" s="28" customFormat="1" ht="19.5" customHeight="1" x14ac:dyDescent="0.25"/>
    <row r="204" s="28" customFormat="1" ht="19.5" customHeight="1" x14ac:dyDescent="0.25"/>
    <row r="205" s="28" customFormat="1" ht="19.5" customHeight="1" x14ac:dyDescent="0.25"/>
    <row r="206" s="28" customFormat="1" ht="19.5" customHeight="1" x14ac:dyDescent="0.25"/>
    <row r="207" s="28" customFormat="1" ht="19.5" customHeight="1" x14ac:dyDescent="0.25"/>
    <row r="208" s="28" customFormat="1" ht="19.5" customHeight="1" x14ac:dyDescent="0.25"/>
    <row r="209" s="28" customFormat="1" ht="19.5" customHeight="1" x14ac:dyDescent="0.25"/>
    <row r="210" s="28" customFormat="1" ht="19.5" customHeight="1" x14ac:dyDescent="0.25"/>
    <row r="211" s="28" customFormat="1" ht="19.5" customHeight="1" x14ac:dyDescent="0.25"/>
    <row r="212" s="28" customFormat="1" ht="19.5" customHeight="1" x14ac:dyDescent="0.25"/>
    <row r="213" s="28" customFormat="1" ht="19.5" customHeight="1" x14ac:dyDescent="0.25"/>
    <row r="214" s="28" customFormat="1" ht="19.5" customHeight="1" x14ac:dyDescent="0.25"/>
    <row r="215" s="28" customFormat="1" ht="19.5" customHeight="1" x14ac:dyDescent="0.25"/>
    <row r="216" s="28" customFormat="1" ht="19.5" customHeight="1" x14ac:dyDescent="0.25"/>
    <row r="217" s="28" customFormat="1" ht="19.5" customHeight="1" x14ac:dyDescent="0.25"/>
    <row r="218" s="28" customFormat="1" ht="19.5" customHeight="1" x14ac:dyDescent="0.25"/>
    <row r="219" s="28" customFormat="1" ht="19.5" customHeight="1" x14ac:dyDescent="0.25"/>
    <row r="220" s="28" customFormat="1" ht="19.5" customHeight="1" x14ac:dyDescent="0.25"/>
    <row r="221" s="28" customFormat="1" ht="19.5" customHeight="1" x14ac:dyDescent="0.25"/>
    <row r="222" s="28" customFormat="1" ht="19.5" customHeight="1" x14ac:dyDescent="0.25"/>
    <row r="223" s="28" customFormat="1" ht="19.5" customHeight="1" x14ac:dyDescent="0.25"/>
    <row r="224" s="28" customFormat="1" ht="19.5" customHeight="1" x14ac:dyDescent="0.25"/>
    <row r="225" s="28" customFormat="1" ht="19.5" customHeight="1" x14ac:dyDescent="0.25"/>
    <row r="226" s="28" customFormat="1" ht="19.5" customHeight="1" x14ac:dyDescent="0.25"/>
    <row r="227" s="28" customFormat="1" ht="19.5" customHeight="1" x14ac:dyDescent="0.25"/>
    <row r="228" s="28" customFormat="1" ht="19.5" customHeight="1" x14ac:dyDescent="0.25"/>
    <row r="229" s="28" customFormat="1" ht="19.5" customHeight="1" x14ac:dyDescent="0.25"/>
    <row r="230" s="28" customFormat="1" ht="19.5" customHeight="1" x14ac:dyDescent="0.25"/>
    <row r="231" s="28" customFormat="1" ht="19.5" customHeight="1" x14ac:dyDescent="0.25"/>
    <row r="232" s="28" customFormat="1" ht="19.5" customHeight="1" x14ac:dyDescent="0.25"/>
    <row r="233" s="28" customFormat="1" ht="19.5" customHeight="1" x14ac:dyDescent="0.25"/>
    <row r="234" s="28" customFormat="1" ht="19.5" customHeight="1" x14ac:dyDescent="0.25"/>
    <row r="235" s="28" customFormat="1" ht="19.5" customHeight="1" x14ac:dyDescent="0.25"/>
    <row r="236" s="28" customFormat="1" ht="19.5" customHeight="1" x14ac:dyDescent="0.25"/>
    <row r="237" s="28" customFormat="1" ht="19.5" customHeight="1" x14ac:dyDescent="0.25"/>
    <row r="238" s="28" customFormat="1" ht="19.5" customHeight="1" x14ac:dyDescent="0.25"/>
    <row r="239" s="28" customFormat="1" ht="19.5" customHeight="1" x14ac:dyDescent="0.25"/>
    <row r="240" s="28" customFormat="1" ht="19.5" customHeight="1" x14ac:dyDescent="0.25"/>
    <row r="241" s="28" customFormat="1" ht="19.5" customHeight="1" x14ac:dyDescent="0.25"/>
    <row r="242" s="28" customFormat="1" ht="19.5" customHeight="1" x14ac:dyDescent="0.25"/>
    <row r="243" s="28" customFormat="1" ht="19.5" customHeight="1" x14ac:dyDescent="0.25"/>
    <row r="244" s="28" customFormat="1" ht="19.5" customHeight="1" x14ac:dyDescent="0.25"/>
    <row r="245" s="28" customFormat="1" ht="19.5" customHeight="1" x14ac:dyDescent="0.25"/>
    <row r="246" s="28" customFormat="1" ht="19.5" customHeight="1" x14ac:dyDescent="0.25"/>
    <row r="247" s="28" customFormat="1" ht="19.5" customHeight="1" x14ac:dyDescent="0.25"/>
    <row r="248" s="28" customFormat="1" ht="19.5" customHeight="1" x14ac:dyDescent="0.25"/>
    <row r="249" s="28" customFormat="1" ht="19.5" customHeight="1" x14ac:dyDescent="0.25"/>
    <row r="250" s="28" customFormat="1" ht="19.5" customHeight="1" x14ac:dyDescent="0.25"/>
    <row r="251" s="28" customFormat="1" ht="19.5" customHeight="1" x14ac:dyDescent="0.25"/>
    <row r="252" s="28" customFormat="1" ht="19.5" customHeight="1" x14ac:dyDescent="0.25"/>
    <row r="253" s="28" customFormat="1" ht="19.5" customHeight="1" x14ac:dyDescent="0.25"/>
    <row r="254" s="28" customFormat="1" ht="19.5" customHeight="1" x14ac:dyDescent="0.25"/>
    <row r="255" s="28" customFormat="1" ht="19.5" customHeight="1" x14ac:dyDescent="0.25"/>
    <row r="256" s="28" customFormat="1" ht="19.5" customHeight="1" x14ac:dyDescent="0.25"/>
    <row r="257" s="28" customFormat="1" ht="19.5" customHeight="1" x14ac:dyDescent="0.25"/>
    <row r="258" s="28" customFormat="1" ht="19.5" customHeight="1" x14ac:dyDescent="0.25"/>
    <row r="259" s="28" customFormat="1" ht="19.5" customHeight="1" x14ac:dyDescent="0.25"/>
    <row r="260" s="28" customFormat="1" ht="19.5" customHeight="1" x14ac:dyDescent="0.25"/>
    <row r="261" s="28" customFormat="1" ht="19.5" customHeight="1" x14ac:dyDescent="0.25"/>
    <row r="262" s="28" customFormat="1" ht="19.5" customHeight="1" x14ac:dyDescent="0.25"/>
    <row r="263" s="28" customFormat="1" ht="19.5" customHeight="1" x14ac:dyDescent="0.25"/>
    <row r="264" s="28" customFormat="1" ht="19.5" customHeight="1" x14ac:dyDescent="0.25"/>
    <row r="265" s="28" customFormat="1" ht="19.5" customHeight="1" x14ac:dyDescent="0.25"/>
    <row r="266" s="28" customFormat="1" ht="19.5" customHeight="1" x14ac:dyDescent="0.25"/>
    <row r="267" s="28" customFormat="1" ht="19.5" customHeight="1" x14ac:dyDescent="0.25"/>
    <row r="268" s="28" customFormat="1" ht="19.5" customHeight="1" x14ac:dyDescent="0.25"/>
    <row r="269" s="28" customFormat="1" ht="19.5" customHeight="1" x14ac:dyDescent="0.25"/>
    <row r="270" s="28" customFormat="1" ht="19.5" customHeight="1" x14ac:dyDescent="0.25"/>
    <row r="271" s="28" customFormat="1" ht="19.5" customHeight="1" x14ac:dyDescent="0.25"/>
    <row r="272" s="28" customFormat="1" ht="19.5" customHeight="1" x14ac:dyDescent="0.25"/>
    <row r="273" s="28" customFormat="1" ht="19.5" customHeight="1" x14ac:dyDescent="0.25"/>
    <row r="274" s="28" customFormat="1" ht="19.5" customHeight="1" x14ac:dyDescent="0.25"/>
    <row r="275" s="28" customFormat="1" ht="19.5" customHeight="1" x14ac:dyDescent="0.25"/>
    <row r="276" s="28" customFormat="1" ht="19.5" customHeight="1" x14ac:dyDescent="0.25"/>
    <row r="277" s="28" customFormat="1" ht="19.5" customHeight="1" x14ac:dyDescent="0.25"/>
    <row r="278" s="28" customFormat="1" ht="19.5" customHeight="1" x14ac:dyDescent="0.25"/>
    <row r="279" s="28" customFormat="1" ht="19.5" customHeight="1" x14ac:dyDescent="0.25"/>
    <row r="280" s="28" customFormat="1" ht="19.5" customHeight="1" x14ac:dyDescent="0.25"/>
    <row r="281" s="28" customFormat="1" ht="19.5" customHeight="1" x14ac:dyDescent="0.25"/>
    <row r="282" s="28" customFormat="1" ht="19.5" customHeight="1" x14ac:dyDescent="0.25"/>
    <row r="283" s="28" customFormat="1" ht="19.5" customHeight="1" x14ac:dyDescent="0.25"/>
  </sheetData>
  <mergeCells count="137">
    <mergeCell ref="A123:N123"/>
    <mergeCell ref="A117:N117"/>
    <mergeCell ref="A118:N118"/>
    <mergeCell ref="A119:J119"/>
    <mergeCell ref="A120:N120"/>
    <mergeCell ref="A121:N121"/>
    <mergeCell ref="A122:N122"/>
    <mergeCell ref="A111:N111"/>
    <mergeCell ref="A112:N112"/>
    <mergeCell ref="A113:N113"/>
    <mergeCell ref="A114:N114"/>
    <mergeCell ref="A115:N115"/>
    <mergeCell ref="A116:N116"/>
    <mergeCell ref="C108:D108"/>
    <mergeCell ref="F108:G108"/>
    <mergeCell ref="H108:I108"/>
    <mergeCell ref="K108:L108"/>
    <mergeCell ref="B109:C109"/>
    <mergeCell ref="A110:N110"/>
    <mergeCell ref="K103:L103"/>
    <mergeCell ref="C105:D105"/>
    <mergeCell ref="F105:G105"/>
    <mergeCell ref="H105:I105"/>
    <mergeCell ref="K105:L105"/>
    <mergeCell ref="B106:C106"/>
    <mergeCell ref="A98:D98"/>
    <mergeCell ref="A99:D99"/>
    <mergeCell ref="A100:D100"/>
    <mergeCell ref="C103:D103"/>
    <mergeCell ref="F103:G103"/>
    <mergeCell ref="H103:I103"/>
    <mergeCell ref="A92:D92"/>
    <mergeCell ref="A93:D93"/>
    <mergeCell ref="A94:D94"/>
    <mergeCell ref="A95:D95"/>
    <mergeCell ref="A96:D96"/>
    <mergeCell ref="A97:D97"/>
    <mergeCell ref="A86:D86"/>
    <mergeCell ref="A87:D87"/>
    <mergeCell ref="A88:D88"/>
    <mergeCell ref="A89:D89"/>
    <mergeCell ref="A90:D90"/>
    <mergeCell ref="A91:D91"/>
    <mergeCell ref="A80:D80"/>
    <mergeCell ref="A81:D81"/>
    <mergeCell ref="A82:D82"/>
    <mergeCell ref="A83:D83"/>
    <mergeCell ref="A84:D84"/>
    <mergeCell ref="A85:D85"/>
    <mergeCell ref="A74:D74"/>
    <mergeCell ref="A75:D75"/>
    <mergeCell ref="A76:D76"/>
    <mergeCell ref="A77:D77"/>
    <mergeCell ref="A78:D78"/>
    <mergeCell ref="A79:D79"/>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7:D27"/>
    <mergeCell ref="A28:D28"/>
    <mergeCell ref="A29:D29"/>
    <mergeCell ref="A30:D30"/>
    <mergeCell ref="A31:D31"/>
    <mergeCell ref="A20:D20"/>
    <mergeCell ref="A21:D21"/>
    <mergeCell ref="A22:D22"/>
    <mergeCell ref="A23:D23"/>
    <mergeCell ref="A24:D24"/>
    <mergeCell ref="A25:D25"/>
    <mergeCell ref="A15:D15"/>
    <mergeCell ref="A16:D16"/>
    <mergeCell ref="A17:D17"/>
    <mergeCell ref="A18:D18"/>
    <mergeCell ref="A19:D19"/>
    <mergeCell ref="K9:M9"/>
    <mergeCell ref="N9:P9"/>
    <mergeCell ref="Q9:S9"/>
    <mergeCell ref="A26:D26"/>
    <mergeCell ref="A12:D12"/>
    <mergeCell ref="A13:D13"/>
    <mergeCell ref="Q7:S7"/>
    <mergeCell ref="T7:V7"/>
    <mergeCell ref="K8:M8"/>
    <mergeCell ref="N8:P8"/>
    <mergeCell ref="Q8:S8"/>
    <mergeCell ref="T8:V8"/>
    <mergeCell ref="A14:D14"/>
    <mergeCell ref="A3:P3"/>
    <mergeCell ref="A5:P5"/>
    <mergeCell ref="A6:D11"/>
    <mergeCell ref="E6:E11"/>
    <mergeCell ref="F6:F11"/>
    <mergeCell ref="G6:G11"/>
    <mergeCell ref="H6:V6"/>
    <mergeCell ref="H7:J9"/>
    <mergeCell ref="K7:M7"/>
    <mergeCell ref="N7:P7"/>
    <mergeCell ref="T9:V9"/>
  </mergeCells>
  <printOptions horizontalCentered="1"/>
  <pageMargins left="0.47244094488188981" right="0.27559055118110237" top="0.39370078740157483" bottom="0.23622047244094491" header="0.43307086614173229" footer="0.51181102362204722"/>
  <pageSetup paperSize="9" scale="5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R289"/>
  <sheetViews>
    <sheetView view="pageBreakPreview" topLeftCell="A115" zoomScale="130" zoomScaleNormal="110" zoomScaleSheetLayoutView="130" workbookViewId="0">
      <selection activeCell="F133" sqref="F133"/>
    </sheetView>
  </sheetViews>
  <sheetFormatPr defaultRowHeight="19.5" customHeight="1" x14ac:dyDescent="0.25"/>
  <cols>
    <col min="1" max="1" width="9.140625" style="7"/>
    <col min="2" max="2" width="6.42578125" style="7" customWidth="1"/>
    <col min="3" max="3" width="8.85546875" style="7" customWidth="1"/>
    <col min="4" max="4" width="9.140625" style="7" customWidth="1"/>
    <col min="5" max="5" width="7.140625" style="7" customWidth="1"/>
    <col min="6" max="6" width="13.42578125" style="7" customWidth="1"/>
    <col min="7" max="7" width="7.7109375" style="7" customWidth="1"/>
    <col min="8" max="8" width="13.140625" style="7" customWidth="1"/>
    <col min="9" max="9" width="13.85546875" style="7" customWidth="1"/>
    <col min="10" max="10" width="12.28515625" style="7" customWidth="1"/>
    <col min="11" max="11" width="13.28515625" style="7" customWidth="1"/>
    <col min="12" max="12" width="14.5703125" style="7" customWidth="1"/>
    <col min="13" max="13" width="15.42578125" style="7" customWidth="1"/>
    <col min="14" max="14" width="14.42578125" style="7" customWidth="1"/>
    <col min="15" max="16" width="14.140625" style="7" customWidth="1"/>
    <col min="17" max="17" width="12.7109375" style="7" customWidth="1"/>
    <col min="18" max="18" width="14" style="7" customWidth="1"/>
    <col min="19" max="19" width="14.140625" style="7" customWidth="1"/>
    <col min="20" max="20" width="16.42578125" style="7" customWidth="1"/>
    <col min="21" max="21" width="16.28515625" style="7" customWidth="1"/>
    <col min="22" max="22" width="15.7109375" style="7" customWidth="1"/>
    <col min="23" max="23" width="10.85546875" style="7" bestFit="1" customWidth="1"/>
    <col min="24" max="16384" width="9.140625" style="7"/>
  </cols>
  <sheetData>
    <row r="1" spans="1:75" ht="19.5" customHeight="1" x14ac:dyDescent="0.3">
      <c r="A1" s="39" t="s">
        <v>44</v>
      </c>
    </row>
    <row r="3" spans="1:75" ht="20.25" customHeight="1" x14ac:dyDescent="0.3">
      <c r="A3" s="531" t="s">
        <v>253</v>
      </c>
      <c r="B3" s="531"/>
      <c r="C3" s="531"/>
      <c r="D3" s="531"/>
      <c r="E3" s="531"/>
      <c r="F3" s="531"/>
      <c r="G3" s="531"/>
      <c r="H3" s="531"/>
      <c r="I3" s="531"/>
      <c r="J3" s="531"/>
      <c r="K3" s="531"/>
      <c r="L3" s="531"/>
      <c r="M3" s="531"/>
      <c r="N3" s="531"/>
      <c r="O3" s="531"/>
      <c r="P3" s="531"/>
    </row>
    <row r="4" spans="1:75" ht="24" customHeight="1" x14ac:dyDescent="0.3">
      <c r="A4" s="73"/>
      <c r="B4" s="73"/>
      <c r="C4" s="73"/>
      <c r="D4" s="73"/>
      <c r="E4" s="73"/>
      <c r="F4" s="73"/>
      <c r="G4" s="73"/>
      <c r="H4" s="73"/>
      <c r="I4" s="73"/>
      <c r="J4" s="73"/>
      <c r="K4" s="73"/>
      <c r="L4" s="73"/>
      <c r="M4" s="73"/>
      <c r="N4" s="73"/>
      <c r="O4" s="73"/>
      <c r="P4" s="73"/>
    </row>
    <row r="5" spans="1:75" ht="25.5" customHeight="1" thickBot="1" x14ac:dyDescent="0.3">
      <c r="A5" s="532"/>
      <c r="B5" s="532"/>
      <c r="C5" s="532"/>
      <c r="D5" s="532"/>
      <c r="E5" s="532"/>
      <c r="F5" s="532"/>
      <c r="G5" s="532"/>
      <c r="H5" s="532"/>
      <c r="I5" s="532"/>
      <c r="J5" s="532"/>
      <c r="K5" s="532"/>
      <c r="L5" s="532"/>
      <c r="M5" s="532"/>
      <c r="N5" s="532"/>
      <c r="O5" s="532"/>
      <c r="P5" s="532"/>
    </row>
    <row r="6" spans="1:75" ht="19.5" customHeight="1" thickBot="1" x14ac:dyDescent="0.3">
      <c r="A6" s="295" t="s">
        <v>2</v>
      </c>
      <c r="B6" s="296"/>
      <c r="C6" s="296"/>
      <c r="D6" s="297"/>
      <c r="E6" s="268" t="s">
        <v>27</v>
      </c>
      <c r="F6" s="268" t="s">
        <v>104</v>
      </c>
      <c r="G6" s="268" t="s">
        <v>103</v>
      </c>
      <c r="H6" s="277" t="s">
        <v>243</v>
      </c>
      <c r="I6" s="278"/>
      <c r="J6" s="278"/>
      <c r="K6" s="278"/>
      <c r="L6" s="278"/>
      <c r="M6" s="278"/>
      <c r="N6" s="278"/>
      <c r="O6" s="278"/>
      <c r="P6" s="278"/>
      <c r="Q6" s="278"/>
      <c r="R6" s="278"/>
      <c r="S6" s="278"/>
      <c r="T6" s="278"/>
      <c r="U6" s="278"/>
      <c r="V6" s="279"/>
    </row>
    <row r="7" spans="1:75" ht="19.5" customHeight="1" thickBot="1" x14ac:dyDescent="0.3">
      <c r="A7" s="298"/>
      <c r="B7" s="299"/>
      <c r="C7" s="299"/>
      <c r="D7" s="300"/>
      <c r="E7" s="269"/>
      <c r="F7" s="269"/>
      <c r="G7" s="269"/>
      <c r="H7" s="484" t="s">
        <v>241</v>
      </c>
      <c r="I7" s="485"/>
      <c r="J7" s="486"/>
      <c r="K7" s="277" t="s">
        <v>247</v>
      </c>
      <c r="L7" s="278"/>
      <c r="M7" s="279"/>
      <c r="N7" s="277" t="s">
        <v>247</v>
      </c>
      <c r="O7" s="278"/>
      <c r="P7" s="279"/>
      <c r="Q7" s="277" t="s">
        <v>247</v>
      </c>
      <c r="R7" s="278"/>
      <c r="S7" s="279"/>
      <c r="T7" s="277" t="s">
        <v>247</v>
      </c>
      <c r="U7" s="278"/>
      <c r="V7" s="279"/>
    </row>
    <row r="8" spans="1:75" ht="19.5" customHeight="1" thickBot="1" x14ac:dyDescent="0.3">
      <c r="A8" s="298"/>
      <c r="B8" s="299"/>
      <c r="C8" s="299"/>
      <c r="D8" s="300"/>
      <c r="E8" s="269"/>
      <c r="F8" s="269"/>
      <c r="G8" s="269"/>
      <c r="H8" s="487"/>
      <c r="I8" s="488"/>
      <c r="J8" s="489"/>
      <c r="K8" s="469" t="s">
        <v>291</v>
      </c>
      <c r="L8" s="470"/>
      <c r="M8" s="471"/>
      <c r="N8" s="469" t="s">
        <v>293</v>
      </c>
      <c r="O8" s="470"/>
      <c r="P8" s="471"/>
      <c r="Q8" s="469" t="s">
        <v>294</v>
      </c>
      <c r="R8" s="470"/>
      <c r="S8" s="471"/>
      <c r="T8" s="469" t="s">
        <v>285</v>
      </c>
      <c r="U8" s="470"/>
      <c r="V8" s="471"/>
    </row>
    <row r="9" spans="1:75" ht="48" customHeight="1" thickBot="1" x14ac:dyDescent="0.3">
      <c r="A9" s="298"/>
      <c r="B9" s="299"/>
      <c r="C9" s="299"/>
      <c r="D9" s="300"/>
      <c r="E9" s="269"/>
      <c r="F9" s="269"/>
      <c r="G9" s="269"/>
      <c r="H9" s="490"/>
      <c r="I9" s="491"/>
      <c r="J9" s="492"/>
      <c r="K9" s="496" t="s">
        <v>292</v>
      </c>
      <c r="L9" s="497"/>
      <c r="M9" s="498"/>
      <c r="N9" s="499" t="s">
        <v>284</v>
      </c>
      <c r="O9" s="500"/>
      <c r="P9" s="501"/>
      <c r="Q9" s="502" t="s">
        <v>295</v>
      </c>
      <c r="R9" s="503"/>
      <c r="S9" s="504"/>
      <c r="T9" s="493" t="s">
        <v>296</v>
      </c>
      <c r="U9" s="494"/>
      <c r="V9" s="495"/>
    </row>
    <row r="10" spans="1:75" ht="18.75" customHeight="1" x14ac:dyDescent="0.25">
      <c r="A10" s="298"/>
      <c r="B10" s="299"/>
      <c r="C10" s="299"/>
      <c r="D10" s="300"/>
      <c r="E10" s="269"/>
      <c r="F10" s="269"/>
      <c r="G10" s="269"/>
      <c r="H10" s="201" t="s">
        <v>274</v>
      </c>
      <c r="I10" s="201" t="s">
        <v>275</v>
      </c>
      <c r="J10" s="201" t="s">
        <v>276</v>
      </c>
      <c r="K10" s="201" t="s">
        <v>274</v>
      </c>
      <c r="L10" s="201" t="s">
        <v>275</v>
      </c>
      <c r="M10" s="201" t="s">
        <v>276</v>
      </c>
      <c r="N10" s="201" t="s">
        <v>274</v>
      </c>
      <c r="O10" s="201" t="s">
        <v>275</v>
      </c>
      <c r="P10" s="201" t="s">
        <v>276</v>
      </c>
      <c r="Q10" s="201" t="s">
        <v>274</v>
      </c>
      <c r="R10" s="201" t="s">
        <v>275</v>
      </c>
      <c r="S10" s="201" t="s">
        <v>276</v>
      </c>
      <c r="T10" s="201" t="s">
        <v>274</v>
      </c>
      <c r="U10" s="201" t="s">
        <v>275</v>
      </c>
      <c r="V10" s="201" t="s">
        <v>276</v>
      </c>
    </row>
    <row r="11" spans="1:75" ht="44.25" customHeight="1" thickBot="1" x14ac:dyDescent="0.3">
      <c r="A11" s="301"/>
      <c r="B11" s="302"/>
      <c r="C11" s="302"/>
      <c r="D11" s="303"/>
      <c r="E11" s="270"/>
      <c r="F11" s="270"/>
      <c r="G11" s="270"/>
      <c r="H11" s="202" t="s">
        <v>39</v>
      </c>
      <c r="I11" s="202" t="s">
        <v>101</v>
      </c>
      <c r="J11" s="202" t="s">
        <v>102</v>
      </c>
      <c r="K11" s="202" t="s">
        <v>39</v>
      </c>
      <c r="L11" s="202" t="s">
        <v>101</v>
      </c>
      <c r="M11" s="202" t="s">
        <v>102</v>
      </c>
      <c r="N11" s="202" t="s">
        <v>39</v>
      </c>
      <c r="O11" s="202" t="s">
        <v>101</v>
      </c>
      <c r="P11" s="202" t="s">
        <v>102</v>
      </c>
      <c r="Q11" s="202" t="s">
        <v>39</v>
      </c>
      <c r="R11" s="202" t="s">
        <v>101</v>
      </c>
      <c r="S11" s="202" t="s">
        <v>102</v>
      </c>
      <c r="T11" s="202" t="s">
        <v>39</v>
      </c>
      <c r="U11" s="202" t="s">
        <v>101</v>
      </c>
      <c r="V11" s="202" t="s">
        <v>102</v>
      </c>
    </row>
    <row r="12" spans="1:75" ht="13.5" customHeight="1" thickBot="1" x14ac:dyDescent="0.3">
      <c r="A12" s="257">
        <v>1</v>
      </c>
      <c r="B12" s="258"/>
      <c r="C12" s="258"/>
      <c r="D12" s="259"/>
      <c r="E12" s="82">
        <v>2</v>
      </c>
      <c r="F12" s="82">
        <v>3</v>
      </c>
      <c r="G12" s="83">
        <v>4</v>
      </c>
      <c r="H12" s="83">
        <v>5</v>
      </c>
      <c r="I12" s="83">
        <v>6</v>
      </c>
      <c r="J12" s="83">
        <v>7</v>
      </c>
      <c r="K12" s="83">
        <v>8</v>
      </c>
      <c r="L12" s="83">
        <v>9</v>
      </c>
      <c r="M12" s="83">
        <v>10</v>
      </c>
      <c r="N12" s="83">
        <v>11</v>
      </c>
      <c r="O12" s="83">
        <v>12</v>
      </c>
      <c r="P12" s="83">
        <v>13</v>
      </c>
      <c r="Q12" s="83">
        <v>14</v>
      </c>
      <c r="R12" s="83">
        <v>15</v>
      </c>
      <c r="S12" s="83">
        <v>16</v>
      </c>
      <c r="T12" s="83">
        <v>17</v>
      </c>
      <c r="U12" s="83">
        <v>18</v>
      </c>
      <c r="V12" s="83">
        <v>19</v>
      </c>
    </row>
    <row r="13" spans="1:75" s="28" customFormat="1" ht="30" customHeight="1" x14ac:dyDescent="0.25">
      <c r="A13" s="472" t="s">
        <v>244</v>
      </c>
      <c r="B13" s="472"/>
      <c r="C13" s="472"/>
      <c r="D13" s="472"/>
      <c r="E13" s="86" t="s">
        <v>28</v>
      </c>
      <c r="F13" s="86" t="s">
        <v>9</v>
      </c>
      <c r="G13" s="86" t="s">
        <v>9</v>
      </c>
      <c r="H13" s="122">
        <f>K13+N13+Q13+T13</f>
        <v>2957452</v>
      </c>
      <c r="I13" s="122">
        <f>L13+O13+R13+U13</f>
        <v>0</v>
      </c>
      <c r="J13" s="122">
        <f>M13+P13+S13+V13</f>
        <v>0</v>
      </c>
      <c r="K13" s="122">
        <v>323100</v>
      </c>
      <c r="L13" s="122"/>
      <c r="M13" s="230"/>
      <c r="N13" s="230">
        <v>1534352</v>
      </c>
      <c r="O13" s="230"/>
      <c r="P13" s="230"/>
      <c r="Q13" s="230"/>
      <c r="R13" s="230"/>
      <c r="S13" s="230"/>
      <c r="T13" s="230">
        <v>1100000</v>
      </c>
      <c r="U13" s="230"/>
      <c r="V13" s="230"/>
    </row>
    <row r="14" spans="1:75" s="28" customFormat="1" ht="24.75" customHeight="1" x14ac:dyDescent="0.25">
      <c r="A14" s="472" t="s">
        <v>254</v>
      </c>
      <c r="B14" s="472"/>
      <c r="C14" s="472"/>
      <c r="D14" s="472"/>
      <c r="E14" s="86" t="s">
        <v>160</v>
      </c>
      <c r="F14" s="87" t="s">
        <v>9</v>
      </c>
      <c r="G14" s="87" t="s">
        <v>9</v>
      </c>
      <c r="H14" s="122">
        <f t="shared" ref="H14:H102" si="0">K14+N14+Q14+T14</f>
        <v>0</v>
      </c>
      <c r="I14" s="122">
        <f t="shared" ref="I14:I102" si="1">L14+O14+R14+U14</f>
        <v>0</v>
      </c>
      <c r="J14" s="122">
        <f t="shared" ref="J14:J102" si="2">M14+P14+S14+V14</f>
        <v>0</v>
      </c>
      <c r="K14" s="121"/>
      <c r="L14" s="121"/>
      <c r="M14" s="121"/>
      <c r="N14" s="121"/>
      <c r="O14" s="121"/>
      <c r="P14" s="121"/>
      <c r="Q14" s="121"/>
      <c r="R14" s="121"/>
      <c r="S14" s="121"/>
      <c r="T14" s="121"/>
      <c r="U14" s="121"/>
      <c r="V14" s="12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s="28" customFormat="1" ht="15.75" customHeight="1" x14ac:dyDescent="0.25">
      <c r="A15" s="472" t="s">
        <v>105</v>
      </c>
      <c r="B15" s="472"/>
      <c r="C15" s="472"/>
      <c r="D15" s="472"/>
      <c r="E15" s="86">
        <v>1000</v>
      </c>
      <c r="F15" s="85"/>
      <c r="G15" s="85"/>
      <c r="H15" s="123">
        <f t="shared" si="0"/>
        <v>114848985.11</v>
      </c>
      <c r="I15" s="123">
        <f t="shared" si="1"/>
        <v>105522642.40000001</v>
      </c>
      <c r="J15" s="123">
        <f t="shared" si="2"/>
        <v>105522642.40000001</v>
      </c>
      <c r="K15" s="123">
        <f>K16+K19+K20</f>
        <v>33766621.450000003</v>
      </c>
      <c r="L15" s="123">
        <f t="shared" ref="L15:V15" si="3">L16+L19+L20</f>
        <v>33017534.710000001</v>
      </c>
      <c r="M15" s="123">
        <f t="shared" si="3"/>
        <v>33017534.710000001</v>
      </c>
      <c r="N15" s="123">
        <f>N16+N19+N20+N31+N26</f>
        <v>65734635.189999998</v>
      </c>
      <c r="O15" s="123">
        <f t="shared" si="3"/>
        <v>57486097.310000002</v>
      </c>
      <c r="P15" s="123">
        <f t="shared" si="3"/>
        <v>57486097.310000002</v>
      </c>
      <c r="Q15" s="123">
        <f t="shared" si="3"/>
        <v>2838404.71</v>
      </c>
      <c r="R15" s="123">
        <f t="shared" si="3"/>
        <v>2769749.7</v>
      </c>
      <c r="S15" s="123">
        <f t="shared" si="3"/>
        <v>2769749.7</v>
      </c>
      <c r="T15" s="123">
        <f t="shared" si="3"/>
        <v>12509323.76</v>
      </c>
      <c r="U15" s="123">
        <f t="shared" si="3"/>
        <v>12249260.68</v>
      </c>
      <c r="V15" s="123">
        <f t="shared" si="3"/>
        <v>12249260.68</v>
      </c>
      <c r="W15" s="194"/>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row>
    <row r="16" spans="1:75" s="28" customFormat="1" ht="14.25" customHeight="1" x14ac:dyDescent="0.25">
      <c r="A16" s="319" t="s">
        <v>106</v>
      </c>
      <c r="B16" s="319"/>
      <c r="C16" s="319"/>
      <c r="D16" s="319"/>
      <c r="E16" s="81">
        <v>1100</v>
      </c>
      <c r="F16" s="84">
        <v>120</v>
      </c>
      <c r="G16" s="84"/>
      <c r="H16" s="121">
        <f t="shared" si="0"/>
        <v>0</v>
      </c>
      <c r="I16" s="121">
        <f t="shared" si="1"/>
        <v>0</v>
      </c>
      <c r="J16" s="121">
        <f t="shared" si="2"/>
        <v>0</v>
      </c>
      <c r="K16" s="121"/>
      <c r="L16" s="121"/>
      <c r="M16" s="121"/>
      <c r="N16" s="121"/>
      <c r="O16" s="121"/>
      <c r="P16" s="121"/>
      <c r="Q16" s="121"/>
      <c r="R16" s="121"/>
      <c r="S16" s="121"/>
      <c r="T16" s="121"/>
      <c r="U16" s="121"/>
      <c r="V16" s="12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1:75" s="28" customFormat="1" ht="15.75" customHeight="1" x14ac:dyDescent="0.25">
      <c r="A17" s="319" t="s">
        <v>24</v>
      </c>
      <c r="B17" s="319"/>
      <c r="C17" s="319"/>
      <c r="D17" s="319"/>
      <c r="E17" s="76"/>
      <c r="F17" s="76"/>
      <c r="G17" s="84"/>
      <c r="H17" s="121">
        <f t="shared" si="0"/>
        <v>0</v>
      </c>
      <c r="I17" s="121">
        <f t="shared" si="1"/>
        <v>0</v>
      </c>
      <c r="J17" s="121">
        <f t="shared" si="2"/>
        <v>0</v>
      </c>
      <c r="K17" s="121"/>
      <c r="L17" s="121"/>
      <c r="M17" s="121"/>
      <c r="N17" s="121"/>
      <c r="O17" s="121"/>
      <c r="P17" s="121"/>
      <c r="Q17" s="121"/>
      <c r="R17" s="121"/>
      <c r="S17" s="121"/>
      <c r="T17" s="121"/>
      <c r="U17" s="121"/>
      <c r="V17" s="12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1:75" s="28" customFormat="1" ht="15" customHeight="1" x14ac:dyDescent="0.25">
      <c r="A18" s="319"/>
      <c r="B18" s="319"/>
      <c r="C18" s="319"/>
      <c r="D18" s="319"/>
      <c r="E18" s="81">
        <v>1110</v>
      </c>
      <c r="F18" s="84">
        <v>120</v>
      </c>
      <c r="G18" s="84"/>
      <c r="H18" s="121">
        <f t="shared" si="0"/>
        <v>0</v>
      </c>
      <c r="I18" s="121">
        <f t="shared" si="1"/>
        <v>0</v>
      </c>
      <c r="J18" s="121">
        <f t="shared" si="2"/>
        <v>0</v>
      </c>
      <c r="K18" s="121"/>
      <c r="L18" s="121"/>
      <c r="M18" s="121"/>
      <c r="N18" s="121"/>
      <c r="O18" s="121"/>
      <c r="P18" s="121"/>
      <c r="Q18" s="121"/>
      <c r="R18" s="121"/>
      <c r="S18" s="121"/>
      <c r="T18" s="121"/>
      <c r="U18" s="121"/>
      <c r="V18" s="12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1:75" s="28" customFormat="1" ht="33" customHeight="1" x14ac:dyDescent="0.25">
      <c r="A19" s="319" t="s">
        <v>107</v>
      </c>
      <c r="B19" s="319"/>
      <c r="C19" s="319"/>
      <c r="D19" s="319"/>
      <c r="E19" s="81">
        <v>1200</v>
      </c>
      <c r="F19" s="84">
        <v>130</v>
      </c>
      <c r="G19" s="84"/>
      <c r="H19" s="251">
        <f t="shared" si="0"/>
        <v>111621763.28</v>
      </c>
      <c r="I19" s="121">
        <f t="shared" si="1"/>
        <v>105522642.40000001</v>
      </c>
      <c r="J19" s="121">
        <f t="shared" si="2"/>
        <v>105522642.40000001</v>
      </c>
      <c r="K19" s="121">
        <f>K21</f>
        <v>33766621.450000003</v>
      </c>
      <c r="L19" s="121">
        <f t="shared" ref="L19:V19" si="4">L21</f>
        <v>33017534.710000001</v>
      </c>
      <c r="M19" s="121">
        <f t="shared" si="4"/>
        <v>33017534.710000001</v>
      </c>
      <c r="N19" s="121">
        <f t="shared" si="4"/>
        <v>62507413.359999999</v>
      </c>
      <c r="O19" s="121">
        <f t="shared" si="4"/>
        <v>57486097.310000002</v>
      </c>
      <c r="P19" s="121">
        <f t="shared" si="4"/>
        <v>57486097.310000002</v>
      </c>
      <c r="Q19" s="121">
        <f t="shared" si="4"/>
        <v>2838404.71</v>
      </c>
      <c r="R19" s="121">
        <f t="shared" si="4"/>
        <v>2769749.7</v>
      </c>
      <c r="S19" s="121">
        <f t="shared" si="4"/>
        <v>2769749.7</v>
      </c>
      <c r="T19" s="121">
        <f t="shared" si="4"/>
        <v>12509323.76</v>
      </c>
      <c r="U19" s="121">
        <f t="shared" si="4"/>
        <v>12249260.68</v>
      </c>
      <c r="V19" s="121">
        <f t="shared" si="4"/>
        <v>12249260.68</v>
      </c>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row>
    <row r="20" spans="1:75" s="28" customFormat="1" ht="61.5" customHeight="1" x14ac:dyDescent="0.25">
      <c r="A20" s="319" t="s">
        <v>261</v>
      </c>
      <c r="B20" s="319"/>
      <c r="C20" s="319"/>
      <c r="D20" s="319"/>
      <c r="E20" s="81">
        <v>1210</v>
      </c>
      <c r="F20" s="84">
        <v>130</v>
      </c>
      <c r="G20" s="84"/>
      <c r="H20" s="121">
        <f t="shared" si="0"/>
        <v>0</v>
      </c>
      <c r="I20" s="121">
        <f t="shared" si="1"/>
        <v>0</v>
      </c>
      <c r="J20" s="121">
        <f t="shared" si="2"/>
        <v>0</v>
      </c>
      <c r="K20" s="121"/>
      <c r="L20" s="121"/>
      <c r="M20" s="121"/>
      <c r="N20" s="121"/>
      <c r="O20" s="121"/>
      <c r="P20" s="121"/>
      <c r="Q20" s="121"/>
      <c r="R20" s="121"/>
      <c r="S20" s="121"/>
      <c r="T20" s="121"/>
      <c r="U20" s="121"/>
      <c r="V20" s="12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row>
    <row r="21" spans="1:75" s="28" customFormat="1" ht="50.25" customHeight="1" x14ac:dyDescent="0.25">
      <c r="A21" s="319" t="s">
        <v>262</v>
      </c>
      <c r="B21" s="319"/>
      <c r="C21" s="319"/>
      <c r="D21" s="319"/>
      <c r="E21" s="81">
        <v>1220</v>
      </c>
      <c r="F21" s="84">
        <v>130</v>
      </c>
      <c r="G21" s="84">
        <v>132</v>
      </c>
      <c r="H21" s="251">
        <f t="shared" si="0"/>
        <v>111621763.28</v>
      </c>
      <c r="I21" s="121">
        <f t="shared" si="1"/>
        <v>105522642.40000001</v>
      </c>
      <c r="J21" s="121">
        <f t="shared" si="2"/>
        <v>105522642.40000001</v>
      </c>
      <c r="K21" s="121">
        <f>33017534.71+749086.74</f>
        <v>33766621.450000003</v>
      </c>
      <c r="L21" s="121">
        <v>33017534.710000001</v>
      </c>
      <c r="M21" s="121">
        <v>33017534.710000001</v>
      </c>
      <c r="N21" s="121">
        <f>24966668.89+4647205.94+27872222.48+802641.37+3175457.14+1043217.54</f>
        <v>62507413.359999999</v>
      </c>
      <c r="O21" s="121">
        <v>57486097.310000002</v>
      </c>
      <c r="P21" s="121">
        <v>57486097.310000002</v>
      </c>
      <c r="Q21" s="121">
        <f>2769749.7+68655.01</f>
        <v>2838404.71</v>
      </c>
      <c r="R21" s="121">
        <v>2769749.7</v>
      </c>
      <c r="S21" s="121">
        <v>2769749.7</v>
      </c>
      <c r="T21" s="121">
        <f>12249260.68+283009.96-11333.52-11613.36</f>
        <v>12509323.76</v>
      </c>
      <c r="U21" s="121">
        <v>12249260.68</v>
      </c>
      <c r="V21" s="121">
        <v>12249260.68</v>
      </c>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row>
    <row r="22" spans="1:75" s="28" customFormat="1" ht="11.1" customHeight="1" x14ac:dyDescent="0.25">
      <c r="A22" s="319"/>
      <c r="B22" s="319"/>
      <c r="C22" s="319"/>
      <c r="D22" s="319"/>
      <c r="E22" s="76"/>
      <c r="F22" s="76"/>
      <c r="G22" s="84"/>
      <c r="H22" s="121">
        <f t="shared" si="0"/>
        <v>0</v>
      </c>
      <c r="I22" s="121">
        <f t="shared" si="1"/>
        <v>0</v>
      </c>
      <c r="J22" s="121">
        <f t="shared" si="2"/>
        <v>0</v>
      </c>
      <c r="K22" s="121"/>
      <c r="L22" s="121"/>
      <c r="M22" s="121"/>
      <c r="N22" s="121"/>
      <c r="O22" s="121"/>
      <c r="P22" s="121"/>
      <c r="Q22" s="121"/>
      <c r="R22" s="121"/>
      <c r="S22" s="121"/>
      <c r="T22" s="121"/>
      <c r="U22" s="121"/>
      <c r="V22" s="12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row>
    <row r="23" spans="1:75" s="28" customFormat="1" ht="26.25" customHeight="1" x14ac:dyDescent="0.25">
      <c r="A23" s="319" t="s">
        <v>108</v>
      </c>
      <c r="B23" s="319"/>
      <c r="C23" s="319"/>
      <c r="D23" s="319"/>
      <c r="E23" s="81">
        <v>1300</v>
      </c>
      <c r="F23" s="84">
        <v>140</v>
      </c>
      <c r="G23" s="84"/>
      <c r="H23" s="121">
        <f t="shared" si="0"/>
        <v>0</v>
      </c>
      <c r="I23" s="121">
        <f t="shared" si="1"/>
        <v>0</v>
      </c>
      <c r="J23" s="121">
        <f t="shared" si="2"/>
        <v>0</v>
      </c>
      <c r="K23" s="121"/>
      <c r="L23" s="121"/>
      <c r="M23" s="121"/>
      <c r="N23" s="121"/>
      <c r="O23" s="121"/>
      <c r="P23" s="121"/>
      <c r="Q23" s="121"/>
      <c r="R23" s="121"/>
      <c r="S23" s="121"/>
      <c r="T23" s="121"/>
      <c r="U23" s="121"/>
      <c r="V23" s="12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row>
    <row r="24" spans="1:75" s="28" customFormat="1" ht="11.1" customHeight="1" x14ac:dyDescent="0.25">
      <c r="A24" s="319" t="s">
        <v>24</v>
      </c>
      <c r="B24" s="319"/>
      <c r="C24" s="319"/>
      <c r="D24" s="319"/>
      <c r="E24" s="76"/>
      <c r="F24" s="84"/>
      <c r="G24" s="84"/>
      <c r="H24" s="121">
        <f t="shared" si="0"/>
        <v>0</v>
      </c>
      <c r="I24" s="121">
        <f t="shared" si="1"/>
        <v>0</v>
      </c>
      <c r="J24" s="121">
        <f t="shared" si="2"/>
        <v>0</v>
      </c>
      <c r="K24" s="121"/>
      <c r="L24" s="121"/>
      <c r="M24" s="121"/>
      <c r="N24" s="121"/>
      <c r="O24" s="121"/>
      <c r="P24" s="121"/>
      <c r="Q24" s="121"/>
      <c r="R24" s="121"/>
      <c r="S24" s="121"/>
      <c r="T24" s="121"/>
      <c r="U24" s="121"/>
      <c r="V24" s="12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row>
    <row r="25" spans="1:75" s="28" customFormat="1" ht="13.5" customHeight="1" x14ac:dyDescent="0.25">
      <c r="A25" s="319"/>
      <c r="B25" s="319"/>
      <c r="C25" s="319"/>
      <c r="D25" s="319"/>
      <c r="E25" s="81">
        <v>1310</v>
      </c>
      <c r="F25" s="84">
        <v>140</v>
      </c>
      <c r="G25" s="84"/>
      <c r="H25" s="121">
        <f t="shared" si="0"/>
        <v>0</v>
      </c>
      <c r="I25" s="121">
        <f t="shared" si="1"/>
        <v>0</v>
      </c>
      <c r="J25" s="121">
        <f t="shared" si="2"/>
        <v>0</v>
      </c>
      <c r="K25" s="121"/>
      <c r="L25" s="121"/>
      <c r="M25" s="121"/>
      <c r="N25" s="121"/>
      <c r="O25" s="121"/>
      <c r="P25" s="121"/>
      <c r="Q25" s="121"/>
      <c r="R25" s="121"/>
      <c r="S25" s="121"/>
      <c r="T25" s="121"/>
      <c r="U25" s="121"/>
      <c r="V25" s="12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row>
    <row r="26" spans="1:75" s="28" customFormat="1" ht="14.25" customHeight="1" x14ac:dyDescent="0.25">
      <c r="A26" s="319" t="s">
        <v>109</v>
      </c>
      <c r="B26" s="319"/>
      <c r="C26" s="319"/>
      <c r="D26" s="319"/>
      <c r="E26" s="81">
        <v>1400</v>
      </c>
      <c r="F26" s="84">
        <v>150</v>
      </c>
      <c r="G26" s="84">
        <v>152</v>
      </c>
      <c r="H26" s="121">
        <f t="shared" si="0"/>
        <v>3227221.83</v>
      </c>
      <c r="I26" s="121">
        <f t="shared" si="1"/>
        <v>0</v>
      </c>
      <c r="J26" s="121">
        <f t="shared" si="2"/>
        <v>0</v>
      </c>
      <c r="K26" s="121"/>
      <c r="L26" s="121"/>
      <c r="M26" s="121"/>
      <c r="N26" s="121">
        <f>N30</f>
        <v>3227221.83</v>
      </c>
      <c r="O26" s="121"/>
      <c r="P26" s="121"/>
      <c r="Q26" s="121"/>
      <c r="R26" s="121"/>
      <c r="S26" s="121"/>
      <c r="T26" s="121"/>
      <c r="U26" s="121"/>
      <c r="V26" s="12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row>
    <row r="27" spans="1:75" s="28" customFormat="1" ht="11.1" customHeight="1" x14ac:dyDescent="0.25">
      <c r="A27" s="319" t="s">
        <v>24</v>
      </c>
      <c r="B27" s="319"/>
      <c r="C27" s="319"/>
      <c r="D27" s="319"/>
      <c r="E27" s="76"/>
      <c r="F27" s="76"/>
      <c r="G27" s="84"/>
      <c r="H27" s="121">
        <f t="shared" si="0"/>
        <v>0</v>
      </c>
      <c r="I27" s="121">
        <f t="shared" si="1"/>
        <v>0</v>
      </c>
      <c r="J27" s="121">
        <f t="shared" si="2"/>
        <v>0</v>
      </c>
      <c r="K27" s="121"/>
      <c r="L27" s="121"/>
      <c r="M27" s="121"/>
      <c r="N27" s="121"/>
      <c r="O27" s="121"/>
      <c r="P27" s="121"/>
      <c r="Q27" s="121"/>
      <c r="R27" s="121"/>
      <c r="S27" s="121"/>
      <c r="T27" s="121"/>
      <c r="U27" s="121"/>
      <c r="V27" s="12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row>
    <row r="28" spans="1:75" s="28" customFormat="1" ht="11.1" customHeight="1" x14ac:dyDescent="0.25">
      <c r="A28" s="326" t="s">
        <v>409</v>
      </c>
      <c r="B28" s="327"/>
      <c r="C28" s="327"/>
      <c r="D28" s="328"/>
      <c r="E28" s="84">
        <v>1410</v>
      </c>
      <c r="F28" s="84">
        <v>150</v>
      </c>
      <c r="G28" s="84"/>
      <c r="H28" s="121"/>
      <c r="I28" s="121"/>
      <c r="J28" s="121"/>
      <c r="K28" s="121"/>
      <c r="L28" s="121"/>
      <c r="M28" s="121"/>
      <c r="N28" s="121"/>
      <c r="O28" s="121"/>
      <c r="P28" s="121"/>
      <c r="Q28" s="121"/>
      <c r="R28" s="121"/>
      <c r="S28" s="121"/>
      <c r="T28" s="121"/>
      <c r="U28" s="121"/>
      <c r="V28" s="12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row>
    <row r="29" spans="1:75" s="28" customFormat="1" ht="11.1" customHeight="1" x14ac:dyDescent="0.25">
      <c r="A29" s="326" t="s">
        <v>26</v>
      </c>
      <c r="B29" s="327"/>
      <c r="C29" s="327"/>
      <c r="D29" s="328"/>
      <c r="E29" s="84">
        <v>1420</v>
      </c>
      <c r="F29" s="84">
        <v>150</v>
      </c>
      <c r="G29" s="84"/>
      <c r="H29" s="121"/>
      <c r="I29" s="121"/>
      <c r="J29" s="121"/>
      <c r="K29" s="121"/>
      <c r="L29" s="121"/>
      <c r="M29" s="121"/>
      <c r="N29" s="121"/>
      <c r="O29" s="121"/>
      <c r="P29" s="121"/>
      <c r="Q29" s="121"/>
      <c r="R29" s="121"/>
      <c r="S29" s="121"/>
      <c r="T29" s="121"/>
      <c r="U29" s="121"/>
      <c r="V29" s="12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row>
    <row r="30" spans="1:75" s="28" customFormat="1" ht="33.75" customHeight="1" x14ac:dyDescent="0.25">
      <c r="A30" s="557" t="s">
        <v>395</v>
      </c>
      <c r="B30" s="558"/>
      <c r="C30" s="558"/>
      <c r="D30" s="559"/>
      <c r="E30" s="84">
        <v>1430</v>
      </c>
      <c r="F30" s="84">
        <v>152</v>
      </c>
      <c r="G30" s="84"/>
      <c r="H30" s="121">
        <f t="shared" si="0"/>
        <v>3227221.83</v>
      </c>
      <c r="I30" s="121">
        <f t="shared" si="1"/>
        <v>0</v>
      </c>
      <c r="J30" s="121">
        <f t="shared" si="2"/>
        <v>0</v>
      </c>
      <c r="K30" s="121"/>
      <c r="L30" s="121"/>
      <c r="M30" s="121"/>
      <c r="N30" s="121">
        <f>3227221.83</f>
        <v>3227221.83</v>
      </c>
      <c r="O30" s="121"/>
      <c r="P30" s="121"/>
      <c r="Q30" s="121"/>
      <c r="R30" s="121"/>
      <c r="S30" s="121"/>
      <c r="T30" s="121"/>
      <c r="U30" s="121"/>
      <c r="V30" s="12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row>
    <row r="31" spans="1:75" s="28" customFormat="1" ht="14.25" customHeight="1" x14ac:dyDescent="0.25">
      <c r="A31" s="319" t="s">
        <v>110</v>
      </c>
      <c r="B31" s="319"/>
      <c r="C31" s="319"/>
      <c r="D31" s="319"/>
      <c r="E31" s="81">
        <v>1500</v>
      </c>
      <c r="F31" s="84">
        <v>180</v>
      </c>
      <c r="G31" s="84"/>
      <c r="H31" s="121">
        <f t="shared" si="0"/>
        <v>0</v>
      </c>
      <c r="I31" s="121">
        <f t="shared" si="1"/>
        <v>0</v>
      </c>
      <c r="J31" s="121">
        <f t="shared" si="2"/>
        <v>0</v>
      </c>
      <c r="K31" s="121"/>
      <c r="L31" s="121"/>
      <c r="M31" s="121"/>
      <c r="N31" s="123"/>
      <c r="O31" s="121"/>
      <c r="P31" s="121"/>
      <c r="Q31" s="121"/>
      <c r="R31" s="121"/>
      <c r="S31" s="121"/>
      <c r="T31" s="121"/>
      <c r="U31" s="121"/>
      <c r="V31" s="12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row>
    <row r="32" spans="1:75" s="28" customFormat="1" ht="11.1" customHeight="1" x14ac:dyDescent="0.25">
      <c r="A32" s="319" t="s">
        <v>24</v>
      </c>
      <c r="B32" s="319"/>
      <c r="C32" s="319"/>
      <c r="D32" s="319"/>
      <c r="E32" s="76"/>
      <c r="F32" s="76"/>
      <c r="G32" s="84"/>
      <c r="H32" s="121">
        <f t="shared" si="0"/>
        <v>0</v>
      </c>
      <c r="I32" s="121">
        <f t="shared" si="1"/>
        <v>0</v>
      </c>
      <c r="J32" s="121">
        <f t="shared" si="2"/>
        <v>0</v>
      </c>
      <c r="K32" s="121"/>
      <c r="L32" s="121"/>
      <c r="M32" s="121"/>
      <c r="N32" s="121"/>
      <c r="O32" s="121"/>
      <c r="P32" s="121"/>
      <c r="Q32" s="121"/>
      <c r="R32" s="121"/>
      <c r="S32" s="121"/>
      <c r="T32" s="121"/>
      <c r="U32" s="121"/>
      <c r="V32" s="12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row>
    <row r="33" spans="1:75" s="28" customFormat="1" ht="13.5" customHeight="1" x14ac:dyDescent="0.25">
      <c r="A33" s="326"/>
      <c r="B33" s="327"/>
      <c r="C33" s="327"/>
      <c r="D33" s="328"/>
      <c r="E33" s="81">
        <v>1510</v>
      </c>
      <c r="F33" s="84">
        <v>180</v>
      </c>
      <c r="G33" s="84"/>
      <c r="H33" s="121">
        <f t="shared" si="0"/>
        <v>0</v>
      </c>
      <c r="I33" s="121">
        <f t="shared" si="1"/>
        <v>0</v>
      </c>
      <c r="J33" s="121">
        <f t="shared" si="2"/>
        <v>0</v>
      </c>
      <c r="K33" s="121"/>
      <c r="L33" s="121"/>
      <c r="M33" s="121"/>
      <c r="N33" s="121"/>
      <c r="O33" s="121"/>
      <c r="P33" s="121"/>
      <c r="Q33" s="121"/>
      <c r="R33" s="121"/>
      <c r="S33" s="121"/>
      <c r="T33" s="121"/>
      <c r="U33" s="121"/>
      <c r="V33" s="12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row>
    <row r="34" spans="1:75" s="28" customFormat="1" ht="13.5" customHeight="1" x14ac:dyDescent="0.25">
      <c r="A34" s="319"/>
      <c r="B34" s="319"/>
      <c r="C34" s="319"/>
      <c r="D34" s="319"/>
      <c r="E34" s="81">
        <v>1520</v>
      </c>
      <c r="F34" s="84">
        <v>180</v>
      </c>
      <c r="G34" s="84"/>
      <c r="H34" s="121">
        <f t="shared" si="0"/>
        <v>0</v>
      </c>
      <c r="I34" s="121">
        <f t="shared" si="1"/>
        <v>0</v>
      </c>
      <c r="J34" s="121">
        <f t="shared" si="2"/>
        <v>0</v>
      </c>
      <c r="K34" s="121"/>
      <c r="L34" s="121"/>
      <c r="M34" s="121"/>
      <c r="N34" s="121"/>
      <c r="O34" s="121"/>
      <c r="P34" s="121"/>
      <c r="Q34" s="121"/>
      <c r="R34" s="121"/>
      <c r="S34" s="121"/>
      <c r="T34" s="121"/>
      <c r="U34" s="121"/>
      <c r="V34" s="12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row>
    <row r="35" spans="1:75" s="28" customFormat="1" ht="14.25" customHeight="1" x14ac:dyDescent="0.25">
      <c r="A35" s="506"/>
      <c r="B35" s="506"/>
      <c r="C35" s="506"/>
      <c r="D35" s="506"/>
      <c r="E35" s="109"/>
      <c r="F35" s="109"/>
      <c r="G35" s="109"/>
      <c r="H35" s="229">
        <f t="shared" si="0"/>
        <v>0</v>
      </c>
      <c r="I35" s="229">
        <f t="shared" si="1"/>
        <v>0</v>
      </c>
      <c r="J35" s="229">
        <f t="shared" si="2"/>
        <v>0</v>
      </c>
      <c r="K35" s="229"/>
      <c r="L35" s="229"/>
      <c r="M35" s="229"/>
      <c r="N35" s="229"/>
      <c r="O35" s="121"/>
      <c r="P35" s="121"/>
      <c r="Q35" s="121"/>
      <c r="R35" s="121"/>
      <c r="S35" s="121"/>
      <c r="T35" s="121"/>
      <c r="U35" s="121"/>
      <c r="V35" s="12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row>
    <row r="36" spans="1:75" s="28" customFormat="1" ht="17.25" customHeight="1" x14ac:dyDescent="0.25">
      <c r="A36" s="319" t="s">
        <v>112</v>
      </c>
      <c r="B36" s="319"/>
      <c r="C36" s="319"/>
      <c r="D36" s="319"/>
      <c r="E36" s="81">
        <v>1900</v>
      </c>
      <c r="F36" s="76"/>
      <c r="G36" s="84"/>
      <c r="H36" s="121">
        <f t="shared" si="0"/>
        <v>0</v>
      </c>
      <c r="I36" s="121">
        <f t="shared" si="1"/>
        <v>0</v>
      </c>
      <c r="J36" s="121">
        <f t="shared" si="2"/>
        <v>0</v>
      </c>
      <c r="K36" s="121"/>
      <c r="L36" s="121"/>
      <c r="M36" s="121"/>
      <c r="N36" s="121"/>
      <c r="O36" s="121"/>
      <c r="P36" s="121"/>
      <c r="Q36" s="121"/>
      <c r="R36" s="121"/>
      <c r="S36" s="121"/>
      <c r="T36" s="121"/>
      <c r="U36" s="121"/>
      <c r="V36" s="12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row>
    <row r="37" spans="1:75" s="28" customFormat="1" ht="14.25" customHeight="1" x14ac:dyDescent="0.25">
      <c r="A37" s="319" t="s">
        <v>24</v>
      </c>
      <c r="B37" s="319"/>
      <c r="C37" s="319"/>
      <c r="D37" s="319"/>
      <c r="E37" s="76"/>
      <c r="F37" s="76"/>
      <c r="G37" s="84"/>
      <c r="H37" s="121">
        <f t="shared" si="0"/>
        <v>0</v>
      </c>
      <c r="I37" s="121">
        <f t="shared" si="1"/>
        <v>0</v>
      </c>
      <c r="J37" s="121">
        <f t="shared" si="2"/>
        <v>0</v>
      </c>
      <c r="K37" s="121"/>
      <c r="L37" s="121"/>
      <c r="M37" s="121"/>
      <c r="N37" s="121"/>
      <c r="O37" s="121"/>
      <c r="P37" s="121"/>
      <c r="Q37" s="121"/>
      <c r="R37" s="121"/>
      <c r="S37" s="121"/>
      <c r="T37" s="121"/>
      <c r="U37" s="121"/>
      <c r="V37" s="12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row>
    <row r="38" spans="1:75" s="28" customFormat="1" ht="11.1" customHeight="1" x14ac:dyDescent="0.25">
      <c r="A38" s="319"/>
      <c r="B38" s="319"/>
      <c r="C38" s="319"/>
      <c r="D38" s="319"/>
      <c r="E38" s="76"/>
      <c r="F38" s="76"/>
      <c r="G38" s="84"/>
      <c r="H38" s="121">
        <f t="shared" si="0"/>
        <v>0</v>
      </c>
      <c r="I38" s="121">
        <f t="shared" si="1"/>
        <v>0</v>
      </c>
      <c r="J38" s="121">
        <f t="shared" si="2"/>
        <v>0</v>
      </c>
      <c r="K38" s="121"/>
      <c r="L38" s="121"/>
      <c r="M38" s="121"/>
      <c r="N38" s="121"/>
      <c r="O38" s="121"/>
      <c r="P38" s="121"/>
      <c r="Q38" s="121"/>
      <c r="R38" s="121"/>
      <c r="S38" s="121"/>
      <c r="T38" s="121"/>
      <c r="U38" s="121"/>
      <c r="V38" s="12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row>
    <row r="39" spans="1:75" s="28" customFormat="1" ht="11.1" customHeight="1" x14ac:dyDescent="0.25">
      <c r="A39" s="319"/>
      <c r="B39" s="319"/>
      <c r="C39" s="319"/>
      <c r="D39" s="319"/>
      <c r="E39" s="76"/>
      <c r="F39" s="76"/>
      <c r="G39" s="84"/>
      <c r="H39" s="121">
        <f t="shared" si="0"/>
        <v>0</v>
      </c>
      <c r="I39" s="121">
        <f t="shared" si="1"/>
        <v>0</v>
      </c>
      <c r="J39" s="121">
        <f t="shared" si="2"/>
        <v>0</v>
      </c>
      <c r="K39" s="121"/>
      <c r="L39" s="121"/>
      <c r="M39" s="121"/>
      <c r="N39" s="121"/>
      <c r="O39" s="121"/>
      <c r="P39" s="121"/>
      <c r="Q39" s="121"/>
      <c r="R39" s="121"/>
      <c r="S39" s="121"/>
      <c r="T39" s="121"/>
      <c r="U39" s="121"/>
      <c r="V39" s="12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row>
    <row r="40" spans="1:75" s="28" customFormat="1" ht="12.75" customHeight="1" x14ac:dyDescent="0.25">
      <c r="A40" s="319" t="s">
        <v>113</v>
      </c>
      <c r="B40" s="319"/>
      <c r="C40" s="319"/>
      <c r="D40" s="319"/>
      <c r="E40" s="81">
        <v>1980</v>
      </c>
      <c r="F40" s="84" t="s">
        <v>9</v>
      </c>
      <c r="G40" s="84"/>
      <c r="H40" s="121">
        <f t="shared" si="0"/>
        <v>0</v>
      </c>
      <c r="I40" s="121">
        <f t="shared" si="1"/>
        <v>0</v>
      </c>
      <c r="J40" s="121">
        <f t="shared" si="2"/>
        <v>0</v>
      </c>
      <c r="K40" s="121"/>
      <c r="L40" s="121"/>
      <c r="M40" s="121"/>
      <c r="N40" s="121"/>
      <c r="O40" s="121"/>
      <c r="P40" s="121"/>
      <c r="Q40" s="121"/>
      <c r="R40" s="121"/>
      <c r="S40" s="121"/>
      <c r="T40" s="121"/>
      <c r="U40" s="121"/>
      <c r="V40" s="12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row>
    <row r="41" spans="1:75" s="28" customFormat="1" ht="33.75" customHeight="1" x14ac:dyDescent="0.25">
      <c r="A41" s="319" t="s">
        <v>114</v>
      </c>
      <c r="B41" s="319"/>
      <c r="C41" s="319"/>
      <c r="D41" s="319"/>
      <c r="E41" s="81">
        <v>1981</v>
      </c>
      <c r="F41" s="81">
        <v>510</v>
      </c>
      <c r="G41" s="84"/>
      <c r="H41" s="121">
        <f t="shared" si="0"/>
        <v>0</v>
      </c>
      <c r="I41" s="121">
        <f t="shared" si="1"/>
        <v>0</v>
      </c>
      <c r="J41" s="121">
        <f t="shared" si="2"/>
        <v>0</v>
      </c>
      <c r="K41" s="121"/>
      <c r="L41" s="121"/>
      <c r="M41" s="121"/>
      <c r="N41" s="121"/>
      <c r="O41" s="121"/>
      <c r="P41" s="121"/>
      <c r="Q41" s="121"/>
      <c r="R41" s="121"/>
      <c r="S41" s="121"/>
      <c r="T41" s="121"/>
      <c r="U41" s="121"/>
      <c r="V41" s="12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row>
    <row r="42" spans="1:75" s="28" customFormat="1" ht="18" customHeight="1" x14ac:dyDescent="0.25">
      <c r="A42" s="319"/>
      <c r="B42" s="319"/>
      <c r="C42" s="319"/>
      <c r="D42" s="319"/>
      <c r="E42" s="81">
        <v>1990</v>
      </c>
      <c r="F42" s="76"/>
      <c r="G42" s="84"/>
      <c r="H42" s="121">
        <f t="shared" si="0"/>
        <v>0</v>
      </c>
      <c r="I42" s="121">
        <f t="shared" si="1"/>
        <v>0</v>
      </c>
      <c r="J42" s="121">
        <f t="shared" si="2"/>
        <v>0</v>
      </c>
      <c r="K42" s="121"/>
      <c r="L42" s="121"/>
      <c r="M42" s="121"/>
      <c r="N42" s="121"/>
      <c r="O42" s="121"/>
      <c r="P42" s="121"/>
      <c r="Q42" s="121"/>
      <c r="R42" s="121"/>
      <c r="S42" s="121"/>
      <c r="T42" s="121"/>
      <c r="U42" s="121"/>
      <c r="V42" s="12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row>
    <row r="43" spans="1:75" s="28" customFormat="1" ht="18.75" customHeight="1" x14ac:dyDescent="0.25">
      <c r="A43" s="472" t="s">
        <v>115</v>
      </c>
      <c r="B43" s="472"/>
      <c r="C43" s="472"/>
      <c r="D43" s="472"/>
      <c r="E43" s="85">
        <v>2000</v>
      </c>
      <c r="F43" s="85" t="s">
        <v>9</v>
      </c>
      <c r="G43" s="85"/>
      <c r="H43" s="123">
        <f t="shared" si="0"/>
        <v>117806437.11</v>
      </c>
      <c r="I43" s="123">
        <f t="shared" si="1"/>
        <v>105522642.40000001</v>
      </c>
      <c r="J43" s="123">
        <f t="shared" si="2"/>
        <v>105522642.40000001</v>
      </c>
      <c r="K43" s="123">
        <f t="shared" ref="K43:V43" si="5">K44+K81+K62+K55</f>
        <v>34089721.450000003</v>
      </c>
      <c r="L43" s="123">
        <f t="shared" si="5"/>
        <v>33017534.710000001</v>
      </c>
      <c r="M43" s="123">
        <f t="shared" si="5"/>
        <v>33017534.710000001</v>
      </c>
      <c r="N43" s="123">
        <f t="shared" si="5"/>
        <v>67268987.189999998</v>
      </c>
      <c r="O43" s="123">
        <f t="shared" si="5"/>
        <v>57486097.310000002</v>
      </c>
      <c r="P43" s="123">
        <f t="shared" si="5"/>
        <v>57486097.310000002</v>
      </c>
      <c r="Q43" s="123">
        <f t="shared" si="5"/>
        <v>2838404.71</v>
      </c>
      <c r="R43" s="123">
        <f t="shared" si="5"/>
        <v>2769749.7</v>
      </c>
      <c r="S43" s="123">
        <f t="shared" si="5"/>
        <v>2769749.7</v>
      </c>
      <c r="T43" s="123">
        <f>T44+T81+T62+T55</f>
        <v>13609323.76</v>
      </c>
      <c r="U43" s="123">
        <f t="shared" si="5"/>
        <v>12249260.68</v>
      </c>
      <c r="V43" s="123">
        <f t="shared" si="5"/>
        <v>12249260.68</v>
      </c>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row>
    <row r="44" spans="1:75" s="28" customFormat="1" ht="22.5" customHeight="1" x14ac:dyDescent="0.25">
      <c r="A44" s="506" t="s">
        <v>116</v>
      </c>
      <c r="B44" s="506"/>
      <c r="C44" s="506"/>
      <c r="D44" s="506"/>
      <c r="E44" s="109">
        <v>2100</v>
      </c>
      <c r="F44" s="109" t="s">
        <v>9</v>
      </c>
      <c r="G44" s="109"/>
      <c r="H44" s="121">
        <f>K44+N44+Q44+T44</f>
        <v>80691833.689999998</v>
      </c>
      <c r="I44" s="121">
        <f t="shared" si="1"/>
        <v>82839485</v>
      </c>
      <c r="J44" s="121">
        <f t="shared" si="2"/>
        <v>87894446</v>
      </c>
      <c r="K44" s="121">
        <f t="shared" ref="K44:V44" si="6">K45+K47+K49+K51+K52+K54+K50+K48+K46</f>
        <v>20823370</v>
      </c>
      <c r="L44" s="121">
        <f t="shared" si="6"/>
        <v>23148830</v>
      </c>
      <c r="M44" s="121">
        <f t="shared" si="6"/>
        <v>25707078</v>
      </c>
      <c r="N44" s="121">
        <f t="shared" si="6"/>
        <v>48337609.829999998</v>
      </c>
      <c r="O44" s="121">
        <f t="shared" si="6"/>
        <v>47822655</v>
      </c>
      <c r="P44" s="121">
        <f t="shared" si="6"/>
        <v>49763468</v>
      </c>
      <c r="Q44" s="121">
        <f t="shared" si="6"/>
        <v>1006500</v>
      </c>
      <c r="R44" s="121">
        <f t="shared" si="6"/>
        <v>1051600</v>
      </c>
      <c r="S44" s="121">
        <f t="shared" si="6"/>
        <v>1116700</v>
      </c>
      <c r="T44" s="121">
        <f>T45+T47+T49+T51+T52++T50+T48+T46</f>
        <v>10524353.859999999</v>
      </c>
      <c r="U44" s="121">
        <f t="shared" si="6"/>
        <v>10816400</v>
      </c>
      <c r="V44" s="121">
        <f t="shared" si="6"/>
        <v>11307200</v>
      </c>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row>
    <row r="45" spans="1:75" s="28" customFormat="1" ht="22.5" customHeight="1" x14ac:dyDescent="0.25">
      <c r="A45" s="506" t="s">
        <v>117</v>
      </c>
      <c r="B45" s="506"/>
      <c r="C45" s="506"/>
      <c r="D45" s="506"/>
      <c r="E45" s="109">
        <v>2110</v>
      </c>
      <c r="F45" s="109">
        <v>111</v>
      </c>
      <c r="G45" s="109">
        <v>211</v>
      </c>
      <c r="H45" s="121">
        <f t="shared" ref="H45:H51" si="7">K45+N45+Q45+T45</f>
        <v>61130865</v>
      </c>
      <c r="I45" s="121">
        <f t="shared" si="1"/>
        <v>63207400</v>
      </c>
      <c r="J45" s="121">
        <f t="shared" si="2"/>
        <v>67112900</v>
      </c>
      <c r="K45" s="121">
        <v>15685000</v>
      </c>
      <c r="L45" s="121">
        <f>17185200+400000</f>
        <v>17585200</v>
      </c>
      <c r="M45" s="121">
        <f>18950000+646450</f>
        <v>19596450</v>
      </c>
      <c r="N45" s="121">
        <f>34239200+2476665</f>
        <v>36715865</v>
      </c>
      <c r="O45" s="121">
        <f>36116300+505900</f>
        <v>36622200</v>
      </c>
      <c r="P45" s="121">
        <f>37420000+646450</f>
        <v>38066450</v>
      </c>
      <c r="Q45" s="121">
        <v>750000</v>
      </c>
      <c r="R45" s="121">
        <v>800000</v>
      </c>
      <c r="S45" s="121">
        <v>850000</v>
      </c>
      <c r="T45" s="121">
        <f>7320000+660000</f>
        <v>7980000</v>
      </c>
      <c r="U45" s="121">
        <v>8200000</v>
      </c>
      <c r="V45" s="121">
        <v>8600000</v>
      </c>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row>
    <row r="46" spans="1:75" s="28" customFormat="1" ht="22.5" customHeight="1" x14ac:dyDescent="0.25">
      <c r="A46" s="271" t="s">
        <v>324</v>
      </c>
      <c r="B46" s="272"/>
      <c r="C46" s="272"/>
      <c r="D46" s="273"/>
      <c r="E46" s="109">
        <v>2111</v>
      </c>
      <c r="F46" s="109">
        <v>111</v>
      </c>
      <c r="G46" s="109">
        <v>266</v>
      </c>
      <c r="H46" s="121">
        <f t="shared" si="7"/>
        <v>512000</v>
      </c>
      <c r="I46" s="121">
        <f t="shared" si="1"/>
        <v>155000</v>
      </c>
      <c r="J46" s="121">
        <f t="shared" si="2"/>
        <v>155000</v>
      </c>
      <c r="K46" s="121">
        <f>30000+40000+70000</f>
        <v>140000</v>
      </c>
      <c r="L46" s="121">
        <v>30000</v>
      </c>
      <c r="M46" s="121">
        <v>30000</v>
      </c>
      <c r="N46" s="121">
        <f>65000+100000+30000+100000</f>
        <v>295000</v>
      </c>
      <c r="O46" s="121">
        <v>65000</v>
      </c>
      <c r="P46" s="121">
        <v>65000</v>
      </c>
      <c r="Q46" s="121">
        <f>10000+2000</f>
        <v>12000</v>
      </c>
      <c r="R46" s="121">
        <v>10000</v>
      </c>
      <c r="S46" s="121">
        <v>10000</v>
      </c>
      <c r="T46" s="121">
        <f>50000+15000</f>
        <v>65000</v>
      </c>
      <c r="U46" s="121">
        <v>50000</v>
      </c>
      <c r="V46" s="121">
        <v>50000</v>
      </c>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row>
    <row r="47" spans="1:75" s="28" customFormat="1" ht="22.5" customHeight="1" x14ac:dyDescent="0.25">
      <c r="A47" s="271" t="s">
        <v>325</v>
      </c>
      <c r="B47" s="272"/>
      <c r="C47" s="272"/>
      <c r="D47" s="273"/>
      <c r="E47" s="109">
        <v>2112</v>
      </c>
      <c r="F47" s="109">
        <v>112</v>
      </c>
      <c r="G47" s="109">
        <v>212</v>
      </c>
      <c r="H47" s="121">
        <f t="shared" si="7"/>
        <v>113600</v>
      </c>
      <c r="I47" s="121">
        <f t="shared" si="1"/>
        <v>120000</v>
      </c>
      <c r="J47" s="121">
        <f t="shared" si="2"/>
        <v>120000</v>
      </c>
      <c r="K47" s="121">
        <v>30000</v>
      </c>
      <c r="L47" s="121">
        <v>30000</v>
      </c>
      <c r="M47" s="121">
        <v>30000</v>
      </c>
      <c r="N47" s="121">
        <f>50000+30000</f>
        <v>80000</v>
      </c>
      <c r="O47" s="121">
        <v>50000</v>
      </c>
      <c r="P47" s="121">
        <v>50000</v>
      </c>
      <c r="Q47" s="121"/>
      <c r="R47" s="121"/>
      <c r="S47" s="121"/>
      <c r="T47" s="121">
        <f>40000-36400</f>
        <v>3600</v>
      </c>
      <c r="U47" s="121">
        <v>40000</v>
      </c>
      <c r="V47" s="121">
        <v>40000</v>
      </c>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row>
    <row r="48" spans="1:75" s="28" customFormat="1" ht="34.5" customHeight="1" x14ac:dyDescent="0.25">
      <c r="A48" s="510" t="s">
        <v>326</v>
      </c>
      <c r="B48" s="511"/>
      <c r="C48" s="511"/>
      <c r="D48" s="512"/>
      <c r="E48" s="109">
        <v>2113</v>
      </c>
      <c r="F48" s="109">
        <v>112</v>
      </c>
      <c r="G48" s="109">
        <v>214</v>
      </c>
      <c r="H48" s="121">
        <f t="shared" si="7"/>
        <v>176000</v>
      </c>
      <c r="I48" s="121">
        <f t="shared" si="1"/>
        <v>100000</v>
      </c>
      <c r="J48" s="121">
        <f t="shared" si="2"/>
        <v>100000</v>
      </c>
      <c r="K48" s="121">
        <f>100000+40000+36000</f>
        <v>176000</v>
      </c>
      <c r="L48" s="121">
        <v>100000</v>
      </c>
      <c r="M48" s="121">
        <v>100000</v>
      </c>
      <c r="N48" s="121"/>
      <c r="O48" s="121"/>
      <c r="P48" s="121"/>
      <c r="Q48" s="121"/>
      <c r="R48" s="121"/>
      <c r="S48" s="121"/>
      <c r="T48" s="121"/>
      <c r="U48" s="121"/>
      <c r="V48" s="12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row>
    <row r="49" spans="1:75" s="28" customFormat="1" ht="25.5" customHeight="1" x14ac:dyDescent="0.25">
      <c r="A49" s="506" t="s">
        <v>118</v>
      </c>
      <c r="B49" s="506"/>
      <c r="C49" s="506"/>
      <c r="D49" s="506"/>
      <c r="E49" s="109">
        <v>2120</v>
      </c>
      <c r="F49" s="109">
        <v>112</v>
      </c>
      <c r="G49" s="109">
        <v>226</v>
      </c>
      <c r="H49" s="121">
        <f t="shared" si="7"/>
        <v>227100</v>
      </c>
      <c r="I49" s="121">
        <f t="shared" si="1"/>
        <v>165000</v>
      </c>
      <c r="J49" s="121">
        <f t="shared" si="2"/>
        <v>165000</v>
      </c>
      <c r="K49" s="121">
        <f>32500+20000</f>
        <v>52500</v>
      </c>
      <c r="L49" s="121">
        <v>32500</v>
      </c>
      <c r="M49" s="121">
        <v>32500</v>
      </c>
      <c r="N49" s="121">
        <f>82500+50000+20000</f>
        <v>152500</v>
      </c>
      <c r="O49" s="121">
        <v>82500</v>
      </c>
      <c r="P49" s="121">
        <v>82500</v>
      </c>
      <c r="Q49" s="121"/>
      <c r="R49" s="121"/>
      <c r="S49" s="121"/>
      <c r="T49" s="121">
        <f>50000-27900</f>
        <v>22100</v>
      </c>
      <c r="U49" s="121">
        <v>50000</v>
      </c>
      <c r="V49" s="121">
        <v>50000</v>
      </c>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row>
    <row r="50" spans="1:75" s="28" customFormat="1" ht="25.5" customHeight="1" x14ac:dyDescent="0.25">
      <c r="A50" s="271" t="s">
        <v>300</v>
      </c>
      <c r="B50" s="272"/>
      <c r="C50" s="272"/>
      <c r="D50" s="273"/>
      <c r="E50" s="109">
        <v>2121</v>
      </c>
      <c r="F50" s="109">
        <v>112</v>
      </c>
      <c r="G50" s="109">
        <v>266</v>
      </c>
      <c r="H50" s="121">
        <f t="shared" si="7"/>
        <v>6450</v>
      </c>
      <c r="I50" s="121">
        <f t="shared" si="1"/>
        <v>3450</v>
      </c>
      <c r="J50" s="121">
        <f t="shared" si="2"/>
        <v>3450</v>
      </c>
      <c r="K50" s="121">
        <f>1000+2000</f>
        <v>3000</v>
      </c>
      <c r="L50" s="121"/>
      <c r="M50" s="121"/>
      <c r="N50" s="229">
        <v>3450</v>
      </c>
      <c r="O50" s="121">
        <v>3450</v>
      </c>
      <c r="P50" s="121">
        <v>3450</v>
      </c>
      <c r="Q50" s="121"/>
      <c r="R50" s="121"/>
      <c r="S50" s="121"/>
      <c r="T50" s="121"/>
      <c r="U50" s="121"/>
      <c r="V50" s="12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row>
    <row r="51" spans="1:75" s="28" customFormat="1" ht="45" customHeight="1" x14ac:dyDescent="0.25">
      <c r="A51" s="506" t="s">
        <v>119</v>
      </c>
      <c r="B51" s="506"/>
      <c r="C51" s="506"/>
      <c r="D51" s="506"/>
      <c r="E51" s="109">
        <v>2130</v>
      </c>
      <c r="F51" s="109">
        <v>113</v>
      </c>
      <c r="G51" s="109"/>
      <c r="H51" s="121">
        <f t="shared" si="7"/>
        <v>0</v>
      </c>
      <c r="I51" s="121">
        <f t="shared" si="1"/>
        <v>0</v>
      </c>
      <c r="J51" s="121">
        <f t="shared" si="2"/>
        <v>0</v>
      </c>
      <c r="K51" s="121"/>
      <c r="L51" s="121"/>
      <c r="M51" s="121"/>
      <c r="N51" s="121"/>
      <c r="O51" s="121"/>
      <c r="P51" s="121"/>
      <c r="Q51" s="121"/>
      <c r="R51" s="121"/>
      <c r="S51" s="121"/>
      <c r="T51" s="121"/>
      <c r="U51" s="121"/>
      <c r="V51" s="12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row>
    <row r="52" spans="1:75" s="28" customFormat="1" ht="50.25" customHeight="1" x14ac:dyDescent="0.25">
      <c r="A52" s="506" t="s">
        <v>120</v>
      </c>
      <c r="B52" s="506"/>
      <c r="C52" s="506"/>
      <c r="D52" s="506"/>
      <c r="E52" s="109">
        <v>2140</v>
      </c>
      <c r="F52" s="109">
        <v>119</v>
      </c>
      <c r="G52" s="109"/>
      <c r="H52" s="121">
        <f>H53+H54</f>
        <v>18525818.690000001</v>
      </c>
      <c r="I52" s="121">
        <f t="shared" si="1"/>
        <v>19088635</v>
      </c>
      <c r="J52" s="121">
        <f t="shared" si="2"/>
        <v>20238096</v>
      </c>
      <c r="K52" s="121">
        <v>4736870</v>
      </c>
      <c r="L52" s="121">
        <v>5371130</v>
      </c>
      <c r="M52" s="121">
        <v>5918128</v>
      </c>
      <c r="N52" s="121">
        <f>10340238+750556.83</f>
        <v>11090794.83</v>
      </c>
      <c r="O52" s="121">
        <f>11059904-60399</f>
        <v>10999505</v>
      </c>
      <c r="P52" s="121">
        <v>11496068</v>
      </c>
      <c r="Q52" s="121">
        <f>226500+18000</f>
        <v>244500</v>
      </c>
      <c r="R52" s="121">
        <v>241600</v>
      </c>
      <c r="S52" s="121">
        <v>256700</v>
      </c>
      <c r="T52" s="121">
        <f>T53+T54</f>
        <v>2453653.86</v>
      </c>
      <c r="U52" s="121">
        <v>2476400</v>
      </c>
      <c r="V52" s="121">
        <v>2567200</v>
      </c>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row>
    <row r="53" spans="1:75" s="28" customFormat="1" ht="22.5" customHeight="1" x14ac:dyDescent="0.25">
      <c r="A53" s="319" t="s">
        <v>121</v>
      </c>
      <c r="B53" s="319"/>
      <c r="C53" s="319"/>
      <c r="D53" s="319"/>
      <c r="E53" s="84">
        <v>2141</v>
      </c>
      <c r="F53" s="84">
        <v>119</v>
      </c>
      <c r="G53" s="84">
        <v>213</v>
      </c>
      <c r="H53" s="121">
        <f t="shared" ref="H53:H54" si="8">K53+N53+Q53+T53</f>
        <v>18522804.829999998</v>
      </c>
      <c r="I53" s="121">
        <f t="shared" si="1"/>
        <v>19088635</v>
      </c>
      <c r="J53" s="121">
        <f t="shared" si="2"/>
        <v>20238096</v>
      </c>
      <c r="K53" s="121">
        <f>K52</f>
        <v>4736870</v>
      </c>
      <c r="L53" s="121">
        <f>L52</f>
        <v>5371130</v>
      </c>
      <c r="M53" s="121">
        <f>M52</f>
        <v>5918128</v>
      </c>
      <c r="N53" s="121">
        <f t="shared" ref="N53:V53" si="9">N52</f>
        <v>11090794.83</v>
      </c>
      <c r="O53" s="121">
        <f t="shared" si="9"/>
        <v>10999505</v>
      </c>
      <c r="P53" s="121">
        <f t="shared" si="9"/>
        <v>11496068</v>
      </c>
      <c r="Q53" s="121">
        <f t="shared" si="9"/>
        <v>244500</v>
      </c>
      <c r="R53" s="121">
        <f t="shared" si="9"/>
        <v>241600</v>
      </c>
      <c r="S53" s="121">
        <f t="shared" si="9"/>
        <v>256700</v>
      </c>
      <c r="T53" s="121">
        <f>2210640+240000</f>
        <v>2450640</v>
      </c>
      <c r="U53" s="121">
        <f t="shared" si="9"/>
        <v>2476400</v>
      </c>
      <c r="V53" s="121">
        <f t="shared" si="9"/>
        <v>2567200</v>
      </c>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row>
    <row r="54" spans="1:75" s="28" customFormat="1" ht="15.75" customHeight="1" x14ac:dyDescent="0.25">
      <c r="A54" s="319" t="s">
        <v>122</v>
      </c>
      <c r="B54" s="319"/>
      <c r="C54" s="319"/>
      <c r="D54" s="319"/>
      <c r="E54" s="84">
        <v>2142</v>
      </c>
      <c r="F54" s="84">
        <v>119</v>
      </c>
      <c r="G54" s="84">
        <v>226</v>
      </c>
      <c r="H54" s="121">
        <f t="shared" si="8"/>
        <v>3013.86</v>
      </c>
      <c r="I54" s="121">
        <f t="shared" si="1"/>
        <v>0</v>
      </c>
      <c r="J54" s="121">
        <f t="shared" si="2"/>
        <v>0</v>
      </c>
      <c r="K54" s="121"/>
      <c r="L54" s="121"/>
      <c r="M54" s="121"/>
      <c r="N54" s="121"/>
      <c r="O54" s="121"/>
      <c r="P54" s="121"/>
      <c r="Q54" s="121"/>
      <c r="R54" s="121"/>
      <c r="S54" s="121"/>
      <c r="T54" s="121">
        <f>13.86+3000</f>
        <v>3013.86</v>
      </c>
      <c r="U54" s="121"/>
      <c r="V54" s="12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row>
    <row r="55" spans="1:75" s="28" customFormat="1" ht="18.75" customHeight="1" x14ac:dyDescent="0.25">
      <c r="A55" s="319" t="s">
        <v>123</v>
      </c>
      <c r="B55" s="319"/>
      <c r="C55" s="319"/>
      <c r="D55" s="319"/>
      <c r="E55" s="84">
        <v>2200</v>
      </c>
      <c r="F55" s="84">
        <v>300</v>
      </c>
      <c r="G55" s="84"/>
      <c r="H55" s="121">
        <f t="shared" si="0"/>
        <v>64674</v>
      </c>
      <c r="I55" s="121">
        <f t="shared" si="1"/>
        <v>0</v>
      </c>
      <c r="J55" s="121">
        <f t="shared" si="2"/>
        <v>0</v>
      </c>
      <c r="K55" s="121">
        <f>K56</f>
        <v>0</v>
      </c>
      <c r="L55" s="121">
        <f>L56</f>
        <v>0</v>
      </c>
      <c r="M55" s="121">
        <f>M56</f>
        <v>0</v>
      </c>
      <c r="N55" s="121">
        <f>N56</f>
        <v>64674</v>
      </c>
      <c r="O55" s="121">
        <f t="shared" ref="O55:V55" si="10">O56</f>
        <v>0</v>
      </c>
      <c r="P55" s="121">
        <f t="shared" si="10"/>
        <v>0</v>
      </c>
      <c r="Q55" s="121">
        <f t="shared" si="10"/>
        <v>0</v>
      </c>
      <c r="R55" s="121">
        <f t="shared" si="10"/>
        <v>0</v>
      </c>
      <c r="S55" s="121">
        <f t="shared" si="10"/>
        <v>0</v>
      </c>
      <c r="T55" s="121">
        <f t="shared" si="10"/>
        <v>0</v>
      </c>
      <c r="U55" s="121">
        <f t="shared" si="10"/>
        <v>0</v>
      </c>
      <c r="V55" s="121">
        <f t="shared" si="10"/>
        <v>0</v>
      </c>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row>
    <row r="56" spans="1:75" s="28" customFormat="1" ht="42.75" customHeight="1" x14ac:dyDescent="0.25">
      <c r="A56" s="319" t="s">
        <v>124</v>
      </c>
      <c r="B56" s="319"/>
      <c r="C56" s="319"/>
      <c r="D56" s="319"/>
      <c r="E56" s="84">
        <v>2210</v>
      </c>
      <c r="F56" s="84">
        <v>320</v>
      </c>
      <c r="G56" s="84"/>
      <c r="H56" s="121">
        <f t="shared" si="0"/>
        <v>64674</v>
      </c>
      <c r="I56" s="121">
        <f t="shared" si="1"/>
        <v>0</v>
      </c>
      <c r="J56" s="121">
        <f t="shared" si="2"/>
        <v>0</v>
      </c>
      <c r="K56" s="121"/>
      <c r="L56" s="121"/>
      <c r="M56" s="121"/>
      <c r="N56" s="121">
        <f>N57</f>
        <v>64674</v>
      </c>
      <c r="O56" s="121"/>
      <c r="P56" s="121"/>
      <c r="Q56" s="121"/>
      <c r="R56" s="121"/>
      <c r="S56" s="121"/>
      <c r="T56" s="121"/>
      <c r="U56" s="121"/>
      <c r="V56" s="12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row>
    <row r="57" spans="1:75" s="28" customFormat="1" ht="45.75" customHeight="1" x14ac:dyDescent="0.25">
      <c r="A57" s="319" t="s">
        <v>125</v>
      </c>
      <c r="B57" s="319"/>
      <c r="C57" s="319"/>
      <c r="D57" s="319"/>
      <c r="E57" s="84">
        <v>2211</v>
      </c>
      <c r="F57" s="84">
        <v>321</v>
      </c>
      <c r="G57" s="84">
        <v>264</v>
      </c>
      <c r="H57" s="121">
        <f t="shared" si="0"/>
        <v>64674</v>
      </c>
      <c r="I57" s="121">
        <f t="shared" si="1"/>
        <v>0</v>
      </c>
      <c r="J57" s="121">
        <f t="shared" si="2"/>
        <v>0</v>
      </c>
      <c r="K57" s="121"/>
      <c r="L57" s="121"/>
      <c r="M57" s="121"/>
      <c r="N57" s="121">
        <f>32337+32337</f>
        <v>64674</v>
      </c>
      <c r="O57" s="121"/>
      <c r="P57" s="121"/>
      <c r="Q57" s="121"/>
      <c r="R57" s="121"/>
      <c r="S57" s="121"/>
      <c r="T57" s="121"/>
      <c r="U57" s="121"/>
      <c r="V57" s="12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1:75" s="28" customFormat="1" ht="11.1" customHeight="1" x14ac:dyDescent="0.25">
      <c r="A58" s="319"/>
      <c r="B58" s="319"/>
      <c r="C58" s="319"/>
      <c r="D58" s="319"/>
      <c r="E58" s="76"/>
      <c r="F58" s="76"/>
      <c r="G58" s="84"/>
      <c r="H58" s="121">
        <f t="shared" si="0"/>
        <v>0</v>
      </c>
      <c r="I58" s="121">
        <f t="shared" si="1"/>
        <v>0</v>
      </c>
      <c r="J58" s="121">
        <f t="shared" si="2"/>
        <v>0</v>
      </c>
      <c r="K58" s="121"/>
      <c r="L58" s="121"/>
      <c r="M58" s="121"/>
      <c r="N58" s="121"/>
      <c r="O58" s="121"/>
      <c r="P58" s="121"/>
      <c r="Q58" s="121"/>
      <c r="R58" s="121"/>
      <c r="S58" s="121"/>
      <c r="T58" s="121"/>
      <c r="U58" s="121"/>
      <c r="V58" s="12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row>
    <row r="59" spans="1:75" s="28" customFormat="1" ht="54.75" customHeight="1" x14ac:dyDescent="0.25">
      <c r="A59" s="319" t="s">
        <v>126</v>
      </c>
      <c r="B59" s="319"/>
      <c r="C59" s="319"/>
      <c r="D59" s="319"/>
      <c r="E59" s="84">
        <v>2220</v>
      </c>
      <c r="F59" s="84">
        <v>340</v>
      </c>
      <c r="G59" s="84"/>
      <c r="H59" s="121">
        <f t="shared" si="0"/>
        <v>0</v>
      </c>
      <c r="I59" s="121">
        <f t="shared" si="1"/>
        <v>0</v>
      </c>
      <c r="J59" s="121">
        <f t="shared" si="2"/>
        <v>0</v>
      </c>
      <c r="K59" s="121"/>
      <c r="L59" s="121"/>
      <c r="M59" s="121"/>
      <c r="N59" s="121"/>
      <c r="O59" s="121"/>
      <c r="P59" s="121"/>
      <c r="Q59" s="121"/>
      <c r="R59" s="121"/>
      <c r="S59" s="121"/>
      <c r="T59" s="121"/>
      <c r="U59" s="121"/>
      <c r="V59" s="12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row>
    <row r="60" spans="1:75" s="28" customFormat="1" ht="66.75" customHeight="1" x14ac:dyDescent="0.25">
      <c r="A60" s="319" t="s">
        <v>127</v>
      </c>
      <c r="B60" s="319"/>
      <c r="C60" s="319"/>
      <c r="D60" s="319"/>
      <c r="E60" s="84">
        <v>2230</v>
      </c>
      <c r="F60" s="84">
        <v>350</v>
      </c>
      <c r="G60" s="84"/>
      <c r="H60" s="121">
        <f t="shared" si="0"/>
        <v>0</v>
      </c>
      <c r="I60" s="121">
        <f t="shared" si="1"/>
        <v>0</v>
      </c>
      <c r="J60" s="121">
        <f t="shared" si="2"/>
        <v>0</v>
      </c>
      <c r="K60" s="121"/>
      <c r="L60" s="121"/>
      <c r="M60" s="121"/>
      <c r="N60" s="121"/>
      <c r="O60" s="121"/>
      <c r="P60" s="121"/>
      <c r="Q60" s="121"/>
      <c r="R60" s="121"/>
      <c r="S60" s="121"/>
      <c r="T60" s="121"/>
      <c r="U60" s="121"/>
      <c r="V60" s="12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row>
    <row r="61" spans="1:75" s="28" customFormat="1" ht="26.25" customHeight="1" x14ac:dyDescent="0.25">
      <c r="A61" s="319" t="s">
        <v>406</v>
      </c>
      <c r="B61" s="319"/>
      <c r="C61" s="319"/>
      <c r="D61" s="319"/>
      <c r="E61" s="84">
        <v>2240</v>
      </c>
      <c r="F61" s="84">
        <v>360</v>
      </c>
      <c r="G61" s="84"/>
      <c r="H61" s="121">
        <f t="shared" si="0"/>
        <v>0</v>
      </c>
      <c r="I61" s="121">
        <f t="shared" si="1"/>
        <v>0</v>
      </c>
      <c r="J61" s="121">
        <f t="shared" si="2"/>
        <v>0</v>
      </c>
      <c r="K61" s="121"/>
      <c r="L61" s="121"/>
      <c r="M61" s="121"/>
      <c r="N61" s="121"/>
      <c r="O61" s="121"/>
      <c r="P61" s="121"/>
      <c r="Q61" s="121"/>
      <c r="R61" s="121"/>
      <c r="S61" s="121"/>
      <c r="T61" s="121"/>
      <c r="U61" s="121"/>
      <c r="V61" s="12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row>
    <row r="62" spans="1:75" s="28" customFormat="1" ht="19.5" customHeight="1" x14ac:dyDescent="0.25">
      <c r="A62" s="319" t="s">
        <v>129</v>
      </c>
      <c r="B62" s="319"/>
      <c r="C62" s="319"/>
      <c r="D62" s="319"/>
      <c r="E62" s="84">
        <v>2300</v>
      </c>
      <c r="F62" s="84">
        <v>850</v>
      </c>
      <c r="G62" s="84"/>
      <c r="H62" s="121">
        <f t="shared" si="0"/>
        <v>1018667.14</v>
      </c>
      <c r="I62" s="121">
        <f>L62+O62+R62+U62</f>
        <v>601642</v>
      </c>
      <c r="J62" s="121">
        <f t="shared" si="2"/>
        <v>551642</v>
      </c>
      <c r="K62" s="121">
        <f t="shared" ref="K62:S62" si="11">K63+K64+K67+K65+K66</f>
        <v>411821</v>
      </c>
      <c r="L62" s="121">
        <f t="shared" si="11"/>
        <v>301821</v>
      </c>
      <c r="M62" s="121">
        <f t="shared" si="11"/>
        <v>301821</v>
      </c>
      <c r="N62" s="121">
        <f t="shared" si="11"/>
        <v>505739</v>
      </c>
      <c r="O62" s="121">
        <f t="shared" si="11"/>
        <v>130000</v>
      </c>
      <c r="P62" s="121">
        <f t="shared" si="11"/>
        <v>80000</v>
      </c>
      <c r="Q62" s="121">
        <f t="shared" si="11"/>
        <v>38000</v>
      </c>
      <c r="R62" s="121">
        <f t="shared" si="11"/>
        <v>38000</v>
      </c>
      <c r="S62" s="121">
        <f t="shared" si="11"/>
        <v>38000</v>
      </c>
      <c r="T62" s="121">
        <f>T63+T64+T67+T65+T66</f>
        <v>63107.14</v>
      </c>
      <c r="U62" s="121">
        <f>U63+U64+U67+U65+U66</f>
        <v>131821</v>
      </c>
      <c r="V62" s="121">
        <f>V63+V64+V67+V65+V66</f>
        <v>131821</v>
      </c>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row>
    <row r="63" spans="1:75" s="28" customFormat="1" ht="32.25" customHeight="1" x14ac:dyDescent="0.25">
      <c r="A63" s="319" t="s">
        <v>130</v>
      </c>
      <c r="B63" s="319"/>
      <c r="C63" s="319"/>
      <c r="D63" s="319"/>
      <c r="E63" s="84">
        <v>2310</v>
      </c>
      <c r="F63" s="84">
        <v>851</v>
      </c>
      <c r="G63" s="84">
        <v>291</v>
      </c>
      <c r="H63" s="121">
        <f t="shared" si="0"/>
        <v>152918</v>
      </c>
      <c r="I63" s="121">
        <f t="shared" si="1"/>
        <v>181642</v>
      </c>
      <c r="J63" s="121">
        <f t="shared" si="2"/>
        <v>161642</v>
      </c>
      <c r="K63" s="121">
        <f>70000+16821</f>
        <v>86821</v>
      </c>
      <c r="L63" s="121">
        <v>86821</v>
      </c>
      <c r="M63" s="121">
        <v>86821</v>
      </c>
      <c r="N63" s="121">
        <f>70000+16821+9320-78000+11935</f>
        <v>30076</v>
      </c>
      <c r="O63" s="121">
        <v>50000</v>
      </c>
      <c r="P63" s="121">
        <v>30000</v>
      </c>
      <c r="Q63" s="121">
        <f>5000+3000</f>
        <v>8000</v>
      </c>
      <c r="R63" s="121">
        <v>8000</v>
      </c>
      <c r="S63" s="121">
        <v>8000</v>
      </c>
      <c r="T63" s="121">
        <f>20000+16821-8800</f>
        <v>28021</v>
      </c>
      <c r="U63" s="121">
        <v>36821</v>
      </c>
      <c r="V63" s="121">
        <v>36821</v>
      </c>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75" s="28" customFormat="1" ht="42" customHeight="1" x14ac:dyDescent="0.25">
      <c r="A64" s="319" t="s">
        <v>131</v>
      </c>
      <c r="B64" s="319"/>
      <c r="C64" s="319"/>
      <c r="D64" s="319"/>
      <c r="E64" s="84">
        <v>2320</v>
      </c>
      <c r="F64" s="84">
        <v>852</v>
      </c>
      <c r="G64" s="84">
        <v>291</v>
      </c>
      <c r="H64" s="121">
        <f t="shared" si="0"/>
        <v>98000</v>
      </c>
      <c r="I64" s="121">
        <f t="shared" si="1"/>
        <v>70000</v>
      </c>
      <c r="J64" s="121">
        <f t="shared" si="2"/>
        <v>70000</v>
      </c>
      <c r="K64" s="121">
        <v>35000</v>
      </c>
      <c r="L64" s="121">
        <v>35000</v>
      </c>
      <c r="M64" s="121">
        <v>35000</v>
      </c>
      <c r="N64" s="121">
        <f>28000</f>
        <v>28000</v>
      </c>
      <c r="O64" s="121"/>
      <c r="P64" s="121"/>
      <c r="Q64" s="121"/>
      <c r="R64" s="121"/>
      <c r="S64" s="121"/>
      <c r="T64" s="121">
        <v>35000</v>
      </c>
      <c r="U64" s="121">
        <v>35000</v>
      </c>
      <c r="V64" s="121">
        <v>35000</v>
      </c>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row>
    <row r="65" spans="1:75" s="28" customFormat="1" ht="42" customHeight="1" x14ac:dyDescent="0.25">
      <c r="A65" s="319" t="s">
        <v>132</v>
      </c>
      <c r="B65" s="319"/>
      <c r="C65" s="319"/>
      <c r="D65" s="319"/>
      <c r="E65" s="84"/>
      <c r="F65" s="84">
        <v>853</v>
      </c>
      <c r="G65" s="84">
        <v>292</v>
      </c>
      <c r="H65" s="121">
        <f t="shared" si="0"/>
        <v>410000</v>
      </c>
      <c r="I65" s="121">
        <f t="shared" si="1"/>
        <v>0</v>
      </c>
      <c r="J65" s="121">
        <f t="shared" si="2"/>
        <v>0</v>
      </c>
      <c r="K65" s="121">
        <f>110000</f>
        <v>110000</v>
      </c>
      <c r="L65" s="121"/>
      <c r="M65" s="121"/>
      <c r="N65" s="121">
        <f>300000</f>
        <v>300000</v>
      </c>
      <c r="O65" s="121"/>
      <c r="P65" s="121"/>
      <c r="Q65" s="121"/>
      <c r="R65" s="121"/>
      <c r="S65" s="121"/>
      <c r="T65" s="121"/>
      <c r="U65" s="121"/>
      <c r="V65" s="12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row>
    <row r="66" spans="1:75" s="28" customFormat="1" ht="42" customHeight="1" x14ac:dyDescent="0.25">
      <c r="A66" s="326" t="s">
        <v>308</v>
      </c>
      <c r="B66" s="327"/>
      <c r="C66" s="327"/>
      <c r="D66" s="328"/>
      <c r="E66" s="84"/>
      <c r="F66" s="84">
        <v>853</v>
      </c>
      <c r="G66" s="84">
        <v>293</v>
      </c>
      <c r="H66" s="121">
        <f t="shared" si="0"/>
        <v>0</v>
      </c>
      <c r="I66" s="121">
        <f t="shared" si="1"/>
        <v>0</v>
      </c>
      <c r="J66" s="121">
        <f t="shared" si="2"/>
        <v>0</v>
      </c>
      <c r="K66" s="121"/>
      <c r="L66" s="121"/>
      <c r="M66" s="121"/>
      <c r="N66" s="121"/>
      <c r="O66" s="121"/>
      <c r="P66" s="121"/>
      <c r="Q66" s="121"/>
      <c r="R66" s="121"/>
      <c r="S66" s="121"/>
      <c r="T66" s="121"/>
      <c r="U66" s="121"/>
      <c r="V66" s="12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28" customFormat="1" ht="31.5" customHeight="1" x14ac:dyDescent="0.25">
      <c r="A67" s="319" t="s">
        <v>132</v>
      </c>
      <c r="B67" s="319"/>
      <c r="C67" s="319"/>
      <c r="D67" s="319"/>
      <c r="E67" s="84">
        <v>2330</v>
      </c>
      <c r="F67" s="84">
        <v>853</v>
      </c>
      <c r="G67" s="84">
        <v>295</v>
      </c>
      <c r="H67" s="121">
        <f t="shared" si="0"/>
        <v>357749.14</v>
      </c>
      <c r="I67" s="121">
        <f t="shared" si="1"/>
        <v>350000</v>
      </c>
      <c r="J67" s="121">
        <f t="shared" si="2"/>
        <v>320000</v>
      </c>
      <c r="K67" s="121">
        <v>180000</v>
      </c>
      <c r="L67" s="121">
        <v>180000</v>
      </c>
      <c r="M67" s="121">
        <v>180000</v>
      </c>
      <c r="N67" s="121">
        <f>180000-32337</f>
        <v>147663</v>
      </c>
      <c r="O67" s="121">
        <v>80000</v>
      </c>
      <c r="P67" s="121">
        <v>50000</v>
      </c>
      <c r="Q67" s="121">
        <v>30000</v>
      </c>
      <c r="R67" s="121">
        <v>30000</v>
      </c>
      <c r="S67" s="121">
        <v>30000</v>
      </c>
      <c r="T67" s="121">
        <f>60000-13.86-59900</f>
        <v>86.14</v>
      </c>
      <c r="U67" s="121">
        <v>60000</v>
      </c>
      <c r="V67" s="121">
        <v>60000</v>
      </c>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28" customFormat="1" ht="34.5" customHeight="1" x14ac:dyDescent="0.25">
      <c r="A68" s="319" t="s">
        <v>133</v>
      </c>
      <c r="B68" s="319"/>
      <c r="C68" s="319"/>
      <c r="D68" s="319"/>
      <c r="E68" s="84">
        <v>2400</v>
      </c>
      <c r="F68" s="84" t="s">
        <v>9</v>
      </c>
      <c r="G68" s="84"/>
      <c r="H68" s="121">
        <f t="shared" si="0"/>
        <v>0</v>
      </c>
      <c r="I68" s="121">
        <f t="shared" si="1"/>
        <v>0</v>
      </c>
      <c r="J68" s="121">
        <f t="shared" si="2"/>
        <v>0</v>
      </c>
      <c r="K68" s="121"/>
      <c r="L68" s="121"/>
      <c r="M68" s="121"/>
      <c r="N68" s="121"/>
      <c r="O68" s="121"/>
      <c r="P68" s="121"/>
      <c r="Q68" s="121"/>
      <c r="R68" s="121"/>
      <c r="S68" s="121"/>
      <c r="T68" s="121"/>
      <c r="U68" s="121"/>
      <c r="V68" s="12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28" customFormat="1" ht="42.75" customHeight="1" x14ac:dyDescent="0.25">
      <c r="A69" s="319" t="s">
        <v>415</v>
      </c>
      <c r="B69" s="319"/>
      <c r="C69" s="319"/>
      <c r="D69" s="319"/>
      <c r="E69" s="84">
        <v>2410</v>
      </c>
      <c r="F69" s="84">
        <v>613</v>
      </c>
      <c r="G69" s="84"/>
      <c r="H69" s="121">
        <f t="shared" si="0"/>
        <v>0</v>
      </c>
      <c r="I69" s="121">
        <f t="shared" si="1"/>
        <v>0</v>
      </c>
      <c r="J69" s="121">
        <f t="shared" si="2"/>
        <v>0</v>
      </c>
      <c r="K69" s="121"/>
      <c r="L69" s="121"/>
      <c r="M69" s="121"/>
      <c r="N69" s="121"/>
      <c r="O69" s="121"/>
      <c r="P69" s="121"/>
      <c r="Q69" s="121"/>
      <c r="R69" s="121"/>
      <c r="S69" s="121"/>
      <c r="T69" s="121"/>
      <c r="U69" s="121"/>
      <c r="V69" s="12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28" customFormat="1" ht="22.5" customHeight="1" x14ac:dyDescent="0.25">
      <c r="A70" s="319" t="s">
        <v>416</v>
      </c>
      <c r="B70" s="319"/>
      <c r="C70" s="319"/>
      <c r="D70" s="319"/>
      <c r="E70" s="84">
        <v>2420</v>
      </c>
      <c r="F70" s="84">
        <v>623</v>
      </c>
      <c r="G70" s="84"/>
      <c r="H70" s="121">
        <f t="shared" si="0"/>
        <v>0</v>
      </c>
      <c r="I70" s="121">
        <f t="shared" si="1"/>
        <v>0</v>
      </c>
      <c r="J70" s="121">
        <f t="shared" si="2"/>
        <v>0</v>
      </c>
      <c r="K70" s="121"/>
      <c r="L70" s="121"/>
      <c r="M70" s="121"/>
      <c r="N70" s="121"/>
      <c r="O70" s="121"/>
      <c r="P70" s="121"/>
      <c r="Q70" s="121"/>
      <c r="R70" s="121"/>
      <c r="S70" s="121"/>
      <c r="T70" s="121"/>
      <c r="U70" s="121"/>
      <c r="V70" s="12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28" customFormat="1" ht="41.25" customHeight="1" x14ac:dyDescent="0.25">
      <c r="A71" s="319" t="s">
        <v>403</v>
      </c>
      <c r="B71" s="319"/>
      <c r="C71" s="319"/>
      <c r="D71" s="319"/>
      <c r="E71" s="84">
        <v>2430</v>
      </c>
      <c r="F71" s="84">
        <v>6345</v>
      </c>
      <c r="G71" s="84"/>
      <c r="H71" s="121">
        <f t="shared" si="0"/>
        <v>0</v>
      </c>
      <c r="I71" s="121">
        <f t="shared" si="1"/>
        <v>0</v>
      </c>
      <c r="J71" s="121">
        <f t="shared" si="2"/>
        <v>0</v>
      </c>
      <c r="K71" s="121"/>
      <c r="L71" s="121"/>
      <c r="M71" s="121"/>
      <c r="N71" s="121"/>
      <c r="O71" s="121"/>
      <c r="P71" s="121"/>
      <c r="Q71" s="121"/>
      <c r="R71" s="121"/>
      <c r="S71" s="121"/>
      <c r="T71" s="121"/>
      <c r="U71" s="121"/>
      <c r="V71" s="12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28" customFormat="1" ht="26.25" customHeight="1" x14ac:dyDescent="0.25">
      <c r="A72" s="507" t="s">
        <v>404</v>
      </c>
      <c r="B72" s="508"/>
      <c r="C72" s="508"/>
      <c r="D72" s="509"/>
      <c r="E72" s="84">
        <v>2440</v>
      </c>
      <c r="F72" s="84">
        <v>810</v>
      </c>
      <c r="G72" s="84"/>
      <c r="H72" s="121">
        <f t="shared" si="0"/>
        <v>0</v>
      </c>
      <c r="I72" s="121">
        <f t="shared" si="1"/>
        <v>0</v>
      </c>
      <c r="J72" s="121">
        <f t="shared" si="2"/>
        <v>0</v>
      </c>
      <c r="K72" s="121"/>
      <c r="L72" s="121"/>
      <c r="M72" s="121"/>
      <c r="N72" s="121"/>
      <c r="O72" s="121"/>
      <c r="P72" s="121"/>
      <c r="Q72" s="121"/>
      <c r="R72" s="121"/>
      <c r="S72" s="121"/>
      <c r="T72" s="121"/>
      <c r="U72" s="121"/>
      <c r="V72" s="12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28" customFormat="1" ht="27" customHeight="1" x14ac:dyDescent="0.25">
      <c r="A73" s="507" t="s">
        <v>413</v>
      </c>
      <c r="B73" s="508"/>
      <c r="C73" s="508"/>
      <c r="D73" s="509"/>
      <c r="E73" s="84">
        <v>2450</v>
      </c>
      <c r="F73" s="84">
        <v>862</v>
      </c>
      <c r="G73" s="84"/>
      <c r="H73" s="121">
        <f t="shared" si="0"/>
        <v>0</v>
      </c>
      <c r="I73" s="121">
        <f t="shared" si="1"/>
        <v>0</v>
      </c>
      <c r="J73" s="121">
        <f t="shared" si="2"/>
        <v>0</v>
      </c>
      <c r="K73" s="121"/>
      <c r="L73" s="121"/>
      <c r="M73" s="121"/>
      <c r="N73" s="121"/>
      <c r="O73" s="121"/>
      <c r="P73" s="121"/>
      <c r="Q73" s="121"/>
      <c r="R73" s="121"/>
      <c r="S73" s="121"/>
      <c r="T73" s="121"/>
      <c r="U73" s="121"/>
      <c r="V73" s="12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28" customFormat="1" ht="34.5" customHeight="1" x14ac:dyDescent="0.25">
      <c r="A74" s="507" t="s">
        <v>414</v>
      </c>
      <c r="B74" s="508"/>
      <c r="C74" s="508"/>
      <c r="D74" s="509"/>
      <c r="E74" s="84">
        <v>2460</v>
      </c>
      <c r="F74" s="84">
        <v>863</v>
      </c>
      <c r="G74" s="84"/>
      <c r="H74" s="121">
        <f t="shared" si="0"/>
        <v>0</v>
      </c>
      <c r="I74" s="121">
        <f t="shared" si="1"/>
        <v>0</v>
      </c>
      <c r="J74" s="121">
        <f t="shared" si="2"/>
        <v>0</v>
      </c>
      <c r="K74" s="121"/>
      <c r="L74" s="121"/>
      <c r="M74" s="121"/>
      <c r="N74" s="121"/>
      <c r="O74" s="121"/>
      <c r="P74" s="121"/>
      <c r="Q74" s="121"/>
      <c r="R74" s="121"/>
      <c r="S74" s="121"/>
      <c r="T74" s="121"/>
      <c r="U74" s="121"/>
      <c r="V74" s="12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28" customFormat="1" ht="30.75" customHeight="1" x14ac:dyDescent="0.25">
      <c r="A75" s="319" t="s">
        <v>137</v>
      </c>
      <c r="B75" s="319"/>
      <c r="C75" s="319"/>
      <c r="D75" s="319"/>
      <c r="E75" s="84">
        <v>2500</v>
      </c>
      <c r="F75" s="84" t="s">
        <v>9</v>
      </c>
      <c r="G75" s="84"/>
      <c r="H75" s="121">
        <f t="shared" si="0"/>
        <v>0</v>
      </c>
      <c r="I75" s="121">
        <f t="shared" si="1"/>
        <v>0</v>
      </c>
      <c r="J75" s="121">
        <f t="shared" si="2"/>
        <v>0</v>
      </c>
      <c r="K75" s="121"/>
      <c r="L75" s="121"/>
      <c r="M75" s="121"/>
      <c r="N75" s="121"/>
      <c r="O75" s="121"/>
      <c r="P75" s="121"/>
      <c r="Q75" s="121"/>
      <c r="R75" s="121"/>
      <c r="S75" s="121"/>
      <c r="T75" s="121"/>
      <c r="U75" s="121"/>
      <c r="V75" s="12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28" customFormat="1" ht="53.25" customHeight="1" x14ac:dyDescent="0.25">
      <c r="A76" s="319" t="s">
        <v>138</v>
      </c>
      <c r="B76" s="319"/>
      <c r="C76" s="319"/>
      <c r="D76" s="319"/>
      <c r="E76" s="84">
        <v>2520</v>
      </c>
      <c r="F76" s="84">
        <v>831</v>
      </c>
      <c r="G76" s="84"/>
      <c r="H76" s="121">
        <f t="shared" si="0"/>
        <v>0</v>
      </c>
      <c r="I76" s="121">
        <f t="shared" si="1"/>
        <v>0</v>
      </c>
      <c r="J76" s="121">
        <f t="shared" si="2"/>
        <v>0</v>
      </c>
      <c r="K76" s="121"/>
      <c r="L76" s="121"/>
      <c r="M76" s="121"/>
      <c r="N76" s="121"/>
      <c r="O76" s="121"/>
      <c r="P76" s="121"/>
      <c r="Q76" s="121"/>
      <c r="R76" s="121"/>
      <c r="S76" s="121"/>
      <c r="T76" s="121"/>
      <c r="U76" s="121"/>
      <c r="V76" s="12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28" customFormat="1" ht="22.5" customHeight="1" x14ac:dyDescent="0.25">
      <c r="A77" s="560" t="s">
        <v>374</v>
      </c>
      <c r="B77" s="561"/>
      <c r="C77" s="561"/>
      <c r="D77" s="562"/>
      <c r="E77" s="85">
        <v>2600</v>
      </c>
      <c r="F77" s="85" t="s">
        <v>9</v>
      </c>
      <c r="G77" s="85"/>
      <c r="H77" s="123">
        <f t="shared" si="0"/>
        <v>36031262.280000001</v>
      </c>
      <c r="I77" s="123">
        <f t="shared" si="1"/>
        <v>22081515.399999999</v>
      </c>
      <c r="J77" s="123">
        <f t="shared" si="2"/>
        <v>17076554.399999999</v>
      </c>
      <c r="K77" s="123">
        <f>K81</f>
        <v>12854530.449999999</v>
      </c>
      <c r="L77" s="123">
        <f t="shared" ref="L77:V77" si="12">L81</f>
        <v>9566883.7100000009</v>
      </c>
      <c r="M77" s="123">
        <f t="shared" si="12"/>
        <v>7008635.71</v>
      </c>
      <c r="N77" s="123">
        <f t="shared" si="12"/>
        <v>18360964.359999999</v>
      </c>
      <c r="O77" s="123">
        <f t="shared" si="12"/>
        <v>9533442.3100000005</v>
      </c>
      <c r="P77" s="123">
        <f t="shared" si="12"/>
        <v>7642629.3099999996</v>
      </c>
      <c r="Q77" s="123">
        <f t="shared" si="12"/>
        <v>1793904.71</v>
      </c>
      <c r="R77" s="123">
        <f t="shared" si="12"/>
        <v>1680149.7</v>
      </c>
      <c r="S77" s="123">
        <f t="shared" si="12"/>
        <v>1615049.7</v>
      </c>
      <c r="T77" s="123">
        <f t="shared" si="12"/>
        <v>3021862.76</v>
      </c>
      <c r="U77" s="123">
        <f t="shared" si="12"/>
        <v>1301039.68</v>
      </c>
      <c r="V77" s="123">
        <f t="shared" si="12"/>
        <v>810239.68</v>
      </c>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28" customFormat="1" ht="21.75" customHeight="1" x14ac:dyDescent="0.25">
      <c r="A78" s="319" t="s">
        <v>140</v>
      </c>
      <c r="B78" s="319"/>
      <c r="C78" s="319"/>
      <c r="D78" s="319"/>
      <c r="E78" s="84">
        <v>2610</v>
      </c>
      <c r="F78" s="84">
        <v>241</v>
      </c>
      <c r="G78" s="84"/>
      <c r="H78" s="121">
        <f t="shared" si="0"/>
        <v>0</v>
      </c>
      <c r="I78" s="121">
        <f t="shared" si="1"/>
        <v>0</v>
      </c>
      <c r="J78" s="121">
        <f t="shared" si="2"/>
        <v>0</v>
      </c>
      <c r="K78" s="121"/>
      <c r="L78" s="121"/>
      <c r="M78" s="121"/>
      <c r="N78" s="121"/>
      <c r="O78" s="121"/>
      <c r="P78" s="121"/>
      <c r="Q78" s="121"/>
      <c r="R78" s="121"/>
      <c r="S78" s="121"/>
      <c r="T78" s="121"/>
      <c r="U78" s="121"/>
      <c r="V78" s="12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28" customFormat="1" ht="35.25" customHeight="1" x14ac:dyDescent="0.25">
      <c r="A79" s="326" t="s">
        <v>141</v>
      </c>
      <c r="B79" s="327"/>
      <c r="C79" s="327"/>
      <c r="D79" s="328"/>
      <c r="E79" s="84">
        <v>2620</v>
      </c>
      <c r="F79" s="84">
        <v>242</v>
      </c>
      <c r="G79" s="84"/>
      <c r="H79" s="121">
        <f t="shared" si="0"/>
        <v>0</v>
      </c>
      <c r="I79" s="121">
        <f t="shared" si="1"/>
        <v>0</v>
      </c>
      <c r="J79" s="121">
        <f t="shared" si="2"/>
        <v>0</v>
      </c>
      <c r="K79" s="121"/>
      <c r="L79" s="121"/>
      <c r="M79" s="121"/>
      <c r="N79" s="121"/>
      <c r="O79" s="121"/>
      <c r="P79" s="121"/>
      <c r="Q79" s="121"/>
      <c r="R79" s="121"/>
      <c r="S79" s="121"/>
      <c r="T79" s="121"/>
      <c r="U79" s="121"/>
      <c r="V79" s="12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28" customFormat="1" ht="42.75" customHeight="1" x14ac:dyDescent="0.25">
      <c r="A80" s="319" t="s">
        <v>263</v>
      </c>
      <c r="B80" s="319"/>
      <c r="C80" s="319"/>
      <c r="D80" s="319"/>
      <c r="E80" s="84">
        <v>2630</v>
      </c>
      <c r="F80" s="84">
        <v>243</v>
      </c>
      <c r="G80" s="84"/>
      <c r="H80" s="121">
        <f t="shared" si="0"/>
        <v>0</v>
      </c>
      <c r="I80" s="121">
        <f t="shared" si="1"/>
        <v>0</v>
      </c>
      <c r="J80" s="121">
        <f t="shared" si="2"/>
        <v>0</v>
      </c>
      <c r="K80" s="121"/>
      <c r="L80" s="121"/>
      <c r="M80" s="121"/>
      <c r="N80" s="121"/>
      <c r="O80" s="121"/>
      <c r="P80" s="121"/>
      <c r="Q80" s="121"/>
      <c r="R80" s="121"/>
      <c r="S80" s="121"/>
      <c r="T80" s="121"/>
      <c r="U80" s="121"/>
      <c r="V80" s="12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28" customFormat="1" ht="19.5" customHeight="1" x14ac:dyDescent="0.25">
      <c r="A81" s="319" t="s">
        <v>142</v>
      </c>
      <c r="B81" s="319"/>
      <c r="C81" s="319"/>
      <c r="D81" s="319"/>
      <c r="E81" s="84">
        <v>2640</v>
      </c>
      <c r="F81" s="84">
        <v>244</v>
      </c>
      <c r="G81" s="84"/>
      <c r="H81" s="123">
        <f>K81+N81+Q81+T81</f>
        <v>36031262.280000001</v>
      </c>
      <c r="I81" s="123">
        <f t="shared" si="1"/>
        <v>22081515.399999999</v>
      </c>
      <c r="J81" s="123">
        <f t="shared" si="2"/>
        <v>17076554.399999999</v>
      </c>
      <c r="K81" s="123">
        <f>K83+K84+K85+K86+K87+K88+K89+K90+K91+K92+K93+K94+K95+K96</f>
        <v>12854530.449999999</v>
      </c>
      <c r="L81" s="123">
        <f t="shared" ref="L81:V81" si="13">L83+L84+L85+L86+L87+L88+L89+L90+L91+L92+L93+L94+L95+L96</f>
        <v>9566883.7100000009</v>
      </c>
      <c r="M81" s="123">
        <f t="shared" si="13"/>
        <v>7008635.71</v>
      </c>
      <c r="N81" s="123">
        <f>N83+N84+N85+N86+N87+N88+N89+N90+N91+N92+N93+N94+N95+N96+N97</f>
        <v>18360964.359999999</v>
      </c>
      <c r="O81" s="123">
        <f t="shared" si="13"/>
        <v>9533442.3100000005</v>
      </c>
      <c r="P81" s="123">
        <f t="shared" si="13"/>
        <v>7642629.3099999996</v>
      </c>
      <c r="Q81" s="123">
        <f t="shared" si="13"/>
        <v>1793904.71</v>
      </c>
      <c r="R81" s="123">
        <f t="shared" si="13"/>
        <v>1680149.7</v>
      </c>
      <c r="S81" s="123">
        <f t="shared" si="13"/>
        <v>1615049.7</v>
      </c>
      <c r="T81" s="123">
        <f t="shared" si="13"/>
        <v>3021862.76</v>
      </c>
      <c r="U81" s="123">
        <f t="shared" si="13"/>
        <v>1301039.68</v>
      </c>
      <c r="V81" s="123">
        <f t="shared" si="13"/>
        <v>810239.68</v>
      </c>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28" customFormat="1" ht="19.5" customHeight="1" x14ac:dyDescent="0.25">
      <c r="A82" s="319" t="s">
        <v>37</v>
      </c>
      <c r="B82" s="319"/>
      <c r="C82" s="319"/>
      <c r="D82" s="319"/>
      <c r="E82" s="84"/>
      <c r="F82" s="84"/>
      <c r="G82" s="84"/>
      <c r="H82" s="121">
        <f t="shared" si="0"/>
        <v>0</v>
      </c>
      <c r="I82" s="121">
        <f t="shared" si="1"/>
        <v>0</v>
      </c>
      <c r="J82" s="121">
        <f t="shared" si="2"/>
        <v>0</v>
      </c>
      <c r="K82" s="121"/>
      <c r="L82" s="121"/>
      <c r="M82" s="121"/>
      <c r="N82" s="121"/>
      <c r="O82" s="121"/>
      <c r="P82" s="121"/>
      <c r="Q82" s="121"/>
      <c r="R82" s="121"/>
      <c r="S82" s="121"/>
      <c r="T82" s="121"/>
      <c r="U82" s="121"/>
      <c r="V82" s="12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28" customFormat="1" ht="19.5" customHeight="1" x14ac:dyDescent="0.25">
      <c r="A83" s="271" t="s">
        <v>310</v>
      </c>
      <c r="B83" s="272"/>
      <c r="C83" s="272"/>
      <c r="D83" s="273"/>
      <c r="E83" s="109">
        <v>2641</v>
      </c>
      <c r="F83" s="109">
        <v>244</v>
      </c>
      <c r="G83" s="109">
        <v>221</v>
      </c>
      <c r="H83" s="121">
        <f t="shared" ref="H83:H96" si="14">K83+N83+Q83+T83</f>
        <v>509370</v>
      </c>
      <c r="I83" s="121">
        <f t="shared" ref="I83:I97" si="15">L83+O83+R83+U83</f>
        <v>414370</v>
      </c>
      <c r="J83" s="121">
        <f t="shared" ref="J83:J97" si="16">M83+P83+S83+V83</f>
        <v>414370</v>
      </c>
      <c r="K83" s="121">
        <f>172185+30000</f>
        <v>202185</v>
      </c>
      <c r="L83" s="121">
        <v>172185</v>
      </c>
      <c r="M83" s="121">
        <v>172185</v>
      </c>
      <c r="N83" s="121">
        <f>172185+35000+30000</f>
        <v>237185</v>
      </c>
      <c r="O83" s="121">
        <v>172185</v>
      </c>
      <c r="P83" s="121">
        <v>172185</v>
      </c>
      <c r="Q83" s="121">
        <v>20000</v>
      </c>
      <c r="R83" s="121">
        <v>20000</v>
      </c>
      <c r="S83" s="121">
        <v>20000</v>
      </c>
      <c r="T83" s="121">
        <v>50000</v>
      </c>
      <c r="U83" s="121">
        <v>50000</v>
      </c>
      <c r="V83" s="121">
        <v>50000</v>
      </c>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28" customFormat="1" ht="19.5" customHeight="1" x14ac:dyDescent="0.25">
      <c r="A84" s="271" t="s">
        <v>311</v>
      </c>
      <c r="B84" s="272"/>
      <c r="C84" s="272"/>
      <c r="D84" s="273"/>
      <c r="E84" s="109">
        <v>2642</v>
      </c>
      <c r="F84" s="109">
        <v>244</v>
      </c>
      <c r="G84" s="109">
        <v>222</v>
      </c>
      <c r="H84" s="121">
        <f t="shared" si="14"/>
        <v>105000</v>
      </c>
      <c r="I84" s="121">
        <f t="shared" si="15"/>
        <v>5000</v>
      </c>
      <c r="J84" s="121">
        <f t="shared" si="16"/>
        <v>5000</v>
      </c>
      <c r="K84" s="121">
        <v>5000</v>
      </c>
      <c r="L84" s="121">
        <v>5000</v>
      </c>
      <c r="M84" s="121">
        <v>5000</v>
      </c>
      <c r="N84" s="121">
        <v>90000</v>
      </c>
      <c r="O84" s="121"/>
      <c r="P84" s="121"/>
      <c r="Q84" s="121"/>
      <c r="R84" s="121"/>
      <c r="S84" s="121"/>
      <c r="T84" s="121">
        <f>10000</f>
        <v>10000</v>
      </c>
      <c r="U84" s="121"/>
      <c r="V84" s="12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28" customFormat="1" ht="19.5" customHeight="1" x14ac:dyDescent="0.25">
      <c r="A85" s="271" t="s">
        <v>301</v>
      </c>
      <c r="B85" s="272"/>
      <c r="C85" s="272"/>
      <c r="D85" s="273"/>
      <c r="E85" s="109">
        <v>2643</v>
      </c>
      <c r="F85" s="109">
        <v>244</v>
      </c>
      <c r="G85" s="109" t="s">
        <v>297</v>
      </c>
      <c r="H85" s="121">
        <f t="shared" si="14"/>
        <v>3426307</v>
      </c>
      <c r="I85" s="121">
        <f t="shared" si="15"/>
        <v>2560092.1800000002</v>
      </c>
      <c r="J85" s="121">
        <f t="shared" si="16"/>
        <v>2102702.5</v>
      </c>
      <c r="K85" s="121">
        <v>1031231.5</v>
      </c>
      <c r="L85" s="121">
        <v>1031231.5</v>
      </c>
      <c r="M85" s="121">
        <f>1031231.5-115808</f>
        <v>915423.5</v>
      </c>
      <c r="N85" s="121">
        <f>1031231.5+83844+500000</f>
        <v>1615075.5</v>
      </c>
      <c r="O85" s="121">
        <v>891100</v>
      </c>
      <c r="P85" s="121">
        <v>754200</v>
      </c>
      <c r="Q85" s="121">
        <v>380000</v>
      </c>
      <c r="R85" s="121">
        <f>380000-65100</f>
        <v>314900</v>
      </c>
      <c r="S85" s="121">
        <f>380000-65100</f>
        <v>314900</v>
      </c>
      <c r="T85" s="121">
        <f>560000-160000</f>
        <v>400000</v>
      </c>
      <c r="U85" s="121">
        <f>560000-100000-137139.32</f>
        <v>322860.68</v>
      </c>
      <c r="V85" s="121">
        <f>250000-131821</f>
        <v>118179</v>
      </c>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28" customFormat="1" ht="19.5" customHeight="1" x14ac:dyDescent="0.25">
      <c r="A86" s="271" t="s">
        <v>313</v>
      </c>
      <c r="B86" s="272"/>
      <c r="C86" s="272"/>
      <c r="D86" s="273"/>
      <c r="E86" s="109">
        <v>2644</v>
      </c>
      <c r="F86" s="109">
        <v>244</v>
      </c>
      <c r="G86" s="109" t="s">
        <v>298</v>
      </c>
      <c r="H86" s="229">
        <f t="shared" si="14"/>
        <v>1483189</v>
      </c>
      <c r="I86" s="229">
        <f t="shared" si="15"/>
        <v>963200</v>
      </c>
      <c r="J86" s="229">
        <f t="shared" si="16"/>
        <v>761500</v>
      </c>
      <c r="K86" s="229">
        <f>350000+20000</f>
        <v>370000</v>
      </c>
      <c r="L86" s="229">
        <v>350000</v>
      </c>
      <c r="M86" s="229">
        <v>350000</v>
      </c>
      <c r="N86" s="229">
        <f>513189+300000</f>
        <v>813189</v>
      </c>
      <c r="O86" s="229">
        <v>313200</v>
      </c>
      <c r="P86" s="229">
        <v>211500</v>
      </c>
      <c r="Q86" s="229">
        <v>100000</v>
      </c>
      <c r="R86" s="229">
        <v>100000</v>
      </c>
      <c r="S86" s="229">
        <v>100000</v>
      </c>
      <c r="T86" s="229">
        <v>200000</v>
      </c>
      <c r="U86" s="229">
        <v>200000</v>
      </c>
      <c r="V86" s="229">
        <v>100000</v>
      </c>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28" customFormat="1" ht="19.5" customHeight="1" x14ac:dyDescent="0.25">
      <c r="A87" s="271" t="s">
        <v>314</v>
      </c>
      <c r="B87" s="272"/>
      <c r="C87" s="272"/>
      <c r="D87" s="273"/>
      <c r="E87" s="109">
        <v>2645</v>
      </c>
      <c r="F87" s="109">
        <v>244</v>
      </c>
      <c r="G87" s="109" t="s">
        <v>299</v>
      </c>
      <c r="H87" s="229">
        <f t="shared" si="14"/>
        <v>499538</v>
      </c>
      <c r="I87" s="229">
        <f t="shared" si="15"/>
        <v>399538</v>
      </c>
      <c r="J87" s="229">
        <f t="shared" si="16"/>
        <v>399538</v>
      </c>
      <c r="K87" s="229">
        <v>177269</v>
      </c>
      <c r="L87" s="229">
        <v>177269</v>
      </c>
      <c r="M87" s="229">
        <v>177269</v>
      </c>
      <c r="N87" s="229">
        <f>177269+100000</f>
        <v>277269</v>
      </c>
      <c r="O87" s="229">
        <v>177269</v>
      </c>
      <c r="P87" s="229">
        <v>177269</v>
      </c>
      <c r="Q87" s="229">
        <v>15000</v>
      </c>
      <c r="R87" s="229">
        <v>15000</v>
      </c>
      <c r="S87" s="229">
        <v>15000</v>
      </c>
      <c r="T87" s="229">
        <v>30000</v>
      </c>
      <c r="U87" s="229">
        <v>30000</v>
      </c>
      <c r="V87" s="229">
        <v>30000</v>
      </c>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28" customFormat="1" ht="19.5" customHeight="1" x14ac:dyDescent="0.25">
      <c r="A88" s="271" t="s">
        <v>315</v>
      </c>
      <c r="B88" s="272"/>
      <c r="C88" s="272"/>
      <c r="D88" s="273"/>
      <c r="E88" s="109">
        <v>2646</v>
      </c>
      <c r="F88" s="109">
        <v>244</v>
      </c>
      <c r="G88" s="109">
        <v>225</v>
      </c>
      <c r="H88" s="229">
        <f t="shared" si="14"/>
        <v>3373862.64</v>
      </c>
      <c r="I88" s="229">
        <f t="shared" si="15"/>
        <v>3037916</v>
      </c>
      <c r="J88" s="229">
        <f t="shared" si="16"/>
        <v>2445476</v>
      </c>
      <c r="K88" s="229">
        <f>1145000</f>
        <v>1145000</v>
      </c>
      <c r="L88" s="229">
        <f>1145000-357560</f>
        <v>787440</v>
      </c>
      <c r="M88" s="229">
        <f>1145000-800000</f>
        <v>345000</v>
      </c>
      <c r="N88" s="229">
        <f>1360476+500000</f>
        <v>1860476</v>
      </c>
      <c r="O88" s="229">
        <v>1860476</v>
      </c>
      <c r="P88" s="229">
        <v>1860476</v>
      </c>
      <c r="Q88" s="229">
        <v>140000</v>
      </c>
      <c r="R88" s="229">
        <v>140000</v>
      </c>
      <c r="S88" s="229">
        <v>140000</v>
      </c>
      <c r="T88" s="229">
        <f>350000-121613.36</f>
        <v>228386.64</v>
      </c>
      <c r="U88" s="229">
        <f>350000-100000</f>
        <v>250000</v>
      </c>
      <c r="V88" s="229">
        <v>100000</v>
      </c>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28" customFormat="1" ht="19.5" customHeight="1" x14ac:dyDescent="0.25">
      <c r="A89" s="271" t="s">
        <v>300</v>
      </c>
      <c r="B89" s="272"/>
      <c r="C89" s="272"/>
      <c r="D89" s="273"/>
      <c r="E89" s="109">
        <v>2647</v>
      </c>
      <c r="F89" s="109">
        <v>244</v>
      </c>
      <c r="G89" s="109">
        <v>226</v>
      </c>
      <c r="H89" s="229">
        <f t="shared" si="14"/>
        <v>8911733.4800000004</v>
      </c>
      <c r="I89" s="229">
        <f t="shared" si="15"/>
        <v>3610208</v>
      </c>
      <c r="J89" s="229">
        <f t="shared" si="16"/>
        <v>2516929</v>
      </c>
      <c r="K89" s="229">
        <f>2350000-301821-1000+70000</f>
        <v>2117179</v>
      </c>
      <c r="L89" s="229">
        <f>2350000-1000000-301821</f>
        <v>1048179</v>
      </c>
      <c r="M89" s="229">
        <f>2350000-1000000-301821</f>
        <v>1048179</v>
      </c>
      <c r="N89" s="229">
        <f>4591850+800000-276141+1500000</f>
        <v>6615709</v>
      </c>
      <c r="O89" s="229">
        <f>2391850-130000</f>
        <v>2261850</v>
      </c>
      <c r="P89" s="229">
        <f>1391850-80000</f>
        <v>1311850</v>
      </c>
      <c r="Q89" s="229">
        <f>160000-38000</f>
        <v>122000</v>
      </c>
      <c r="R89" s="229">
        <f>160000-38000</f>
        <v>122000</v>
      </c>
      <c r="S89" s="229">
        <f>160000-65100-38000</f>
        <v>56900</v>
      </c>
      <c r="T89" s="229">
        <f>310000-131821-11333.52-110000</f>
        <v>56845.48</v>
      </c>
      <c r="U89" s="229">
        <f>310000-131821</f>
        <v>178179</v>
      </c>
      <c r="V89" s="229">
        <f>100000</f>
        <v>100000</v>
      </c>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28" customFormat="1" ht="19.5" customHeight="1" x14ac:dyDescent="0.25">
      <c r="A90" s="271" t="s">
        <v>302</v>
      </c>
      <c r="B90" s="272"/>
      <c r="C90" s="272"/>
      <c r="D90" s="273"/>
      <c r="E90" s="109">
        <v>2648</v>
      </c>
      <c r="F90" s="109">
        <v>244</v>
      </c>
      <c r="G90" s="109">
        <v>227</v>
      </c>
      <c r="H90" s="229">
        <f t="shared" si="14"/>
        <v>30000</v>
      </c>
      <c r="I90" s="229">
        <f t="shared" si="15"/>
        <v>40000</v>
      </c>
      <c r="J90" s="229">
        <f t="shared" si="16"/>
        <v>40000</v>
      </c>
      <c r="K90" s="229"/>
      <c r="L90" s="229"/>
      <c r="M90" s="229"/>
      <c r="N90" s="229">
        <f>10000+10000</f>
        <v>20000</v>
      </c>
      <c r="O90" s="229">
        <v>10000</v>
      </c>
      <c r="P90" s="229">
        <v>10000</v>
      </c>
      <c r="Q90" s="229"/>
      <c r="R90" s="229"/>
      <c r="S90" s="229"/>
      <c r="T90" s="229">
        <f>30000-20000</f>
        <v>10000</v>
      </c>
      <c r="U90" s="229">
        <v>30000</v>
      </c>
      <c r="V90" s="229">
        <v>30000</v>
      </c>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28" customFormat="1" ht="19.5" customHeight="1" x14ac:dyDescent="0.25">
      <c r="A91" s="271" t="s">
        <v>305</v>
      </c>
      <c r="B91" s="272"/>
      <c r="C91" s="272"/>
      <c r="D91" s="273"/>
      <c r="E91" s="109">
        <v>2649</v>
      </c>
      <c r="F91" s="109">
        <v>244</v>
      </c>
      <c r="G91" s="109">
        <v>310</v>
      </c>
      <c r="H91" s="229">
        <f t="shared" si="14"/>
        <v>594500</v>
      </c>
      <c r="I91" s="229">
        <f t="shared" si="15"/>
        <v>633000</v>
      </c>
      <c r="J91" s="229">
        <f t="shared" si="16"/>
        <v>633000</v>
      </c>
      <c r="K91" s="229">
        <f>180000</f>
        <v>180000</v>
      </c>
      <c r="L91" s="229">
        <f>180000</f>
        <v>180000</v>
      </c>
      <c r="M91" s="229">
        <v>180000</v>
      </c>
      <c r="N91" s="229">
        <v>343000</v>
      </c>
      <c r="O91" s="229">
        <v>343000</v>
      </c>
      <c r="P91" s="229">
        <v>343000</v>
      </c>
      <c r="Q91" s="229">
        <v>30000</v>
      </c>
      <c r="R91" s="229">
        <v>30000</v>
      </c>
      <c r="S91" s="229">
        <v>30000</v>
      </c>
      <c r="T91" s="229">
        <f>80000-38500</f>
        <v>41500</v>
      </c>
      <c r="U91" s="229">
        <v>80000</v>
      </c>
      <c r="V91" s="229">
        <v>80000</v>
      </c>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28" customFormat="1" ht="35.25" customHeight="1" x14ac:dyDescent="0.25">
      <c r="A92" s="271" t="s">
        <v>316</v>
      </c>
      <c r="B92" s="272"/>
      <c r="C92" s="272"/>
      <c r="D92" s="273"/>
      <c r="E92" s="109">
        <v>2650</v>
      </c>
      <c r="F92" s="109">
        <v>244</v>
      </c>
      <c r="G92" s="109">
        <v>341</v>
      </c>
      <c r="H92" s="229">
        <f t="shared" si="14"/>
        <v>11173390.970000001</v>
      </c>
      <c r="I92" s="229">
        <f t="shared" si="15"/>
        <v>6723828.9100000001</v>
      </c>
      <c r="J92" s="229">
        <f t="shared" si="16"/>
        <v>4423828.91</v>
      </c>
      <c r="K92" s="229">
        <f>5900000-34420.79+687086.74-40000-411000</f>
        <v>6101665.9500000002</v>
      </c>
      <c r="L92" s="229">
        <f>5865579.21-1500000</f>
        <v>4365579.21</v>
      </c>
      <c r="M92" s="229">
        <f>5865579.21-2500000-1000000</f>
        <v>2365579.21</v>
      </c>
      <c r="N92" s="229">
        <f>1271750.3+1000000+514525.37+700457.14+523077.54</f>
        <v>4009810.35</v>
      </c>
      <c r="O92" s="229">
        <v>1400000</v>
      </c>
      <c r="P92" s="229">
        <f>1100000-100000+100000</f>
        <v>1100000</v>
      </c>
      <c r="Q92" s="229">
        <f>858249.7+68655.01-20000</f>
        <v>906904.71</v>
      </c>
      <c r="R92" s="229">
        <v>858249.7</v>
      </c>
      <c r="S92" s="229">
        <v>858249.7</v>
      </c>
      <c r="T92" s="229">
        <f>100000+255009.96-200000</f>
        <v>155009.96</v>
      </c>
      <c r="U92" s="229">
        <v>100000</v>
      </c>
      <c r="V92" s="229">
        <v>100000</v>
      </c>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28" customFormat="1" ht="27" customHeight="1" x14ac:dyDescent="0.25">
      <c r="A93" s="271" t="s">
        <v>303</v>
      </c>
      <c r="B93" s="272"/>
      <c r="C93" s="272"/>
      <c r="D93" s="273"/>
      <c r="E93" s="109">
        <v>2651</v>
      </c>
      <c r="F93" s="109">
        <v>244</v>
      </c>
      <c r="G93" s="109">
        <v>343</v>
      </c>
      <c r="H93" s="229">
        <f t="shared" si="14"/>
        <v>5050731.1900000004</v>
      </c>
      <c r="I93" s="229">
        <f t="shared" si="15"/>
        <v>2904362.31</v>
      </c>
      <c r="J93" s="229">
        <f t="shared" si="16"/>
        <v>2544209.9900000002</v>
      </c>
      <c r="K93" s="229">
        <v>1100000</v>
      </c>
      <c r="L93" s="229">
        <v>1100000</v>
      </c>
      <c r="M93" s="229">
        <v>1100000</v>
      </c>
      <c r="N93" s="229">
        <f>1350000+769110.51</f>
        <v>2119110.5099999998</v>
      </c>
      <c r="O93" s="229">
        <f>2119110.51-364748.2</f>
        <v>1754362.31</v>
      </c>
      <c r="P93" s="229">
        <f>2119110.51-766961.2</f>
        <v>1352149.31</v>
      </c>
      <c r="Q93" s="229">
        <v>50000</v>
      </c>
      <c r="R93" s="229">
        <v>50000</v>
      </c>
      <c r="S93" s="229">
        <v>50000</v>
      </c>
      <c r="T93" s="229">
        <f>1908620.68-127000</f>
        <v>1781620.68</v>
      </c>
      <c r="U93" s="229"/>
      <c r="V93" s="229">
        <v>42060.68</v>
      </c>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28" customFormat="1" ht="27" customHeight="1" x14ac:dyDescent="0.25">
      <c r="A94" s="310" t="s">
        <v>389</v>
      </c>
      <c r="B94" s="311"/>
      <c r="C94" s="311"/>
      <c r="D94" s="312"/>
      <c r="E94" s="200"/>
      <c r="F94" s="200">
        <v>244</v>
      </c>
      <c r="G94" s="225">
        <v>344</v>
      </c>
      <c r="H94" s="121">
        <f t="shared" ref="H94" si="17">K94+N94+Q94+T94</f>
        <v>35140</v>
      </c>
      <c r="I94" s="121">
        <f t="shared" ref="I94" si="18">L94+O94+R94+U94</f>
        <v>0</v>
      </c>
      <c r="J94" s="121">
        <f t="shared" ref="J94" si="19">M94+P94+S94+V94</f>
        <v>0</v>
      </c>
      <c r="K94" s="121">
        <f>35000</f>
        <v>35000</v>
      </c>
      <c r="L94" s="121"/>
      <c r="M94" s="121"/>
      <c r="N94" s="121">
        <f>140</f>
        <v>140</v>
      </c>
      <c r="O94" s="121"/>
      <c r="P94" s="121"/>
      <c r="Q94" s="121"/>
      <c r="R94" s="121"/>
      <c r="S94" s="121"/>
      <c r="T94" s="121"/>
      <c r="U94" s="121"/>
      <c r="V94" s="12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28" customFormat="1" ht="19.5" customHeight="1" x14ac:dyDescent="0.25">
      <c r="A95" s="271" t="s">
        <v>317</v>
      </c>
      <c r="B95" s="272"/>
      <c r="C95" s="272"/>
      <c r="D95" s="273"/>
      <c r="E95" s="109">
        <v>2652</v>
      </c>
      <c r="F95" s="109">
        <v>244</v>
      </c>
      <c r="G95" s="109">
        <v>345</v>
      </c>
      <c r="H95" s="121">
        <f t="shared" si="14"/>
        <v>50000</v>
      </c>
      <c r="I95" s="121">
        <f t="shared" si="15"/>
        <v>50000</v>
      </c>
      <c r="J95" s="121">
        <f t="shared" si="16"/>
        <v>50000</v>
      </c>
      <c r="K95" s="121">
        <v>20000</v>
      </c>
      <c r="L95" s="121">
        <v>20000</v>
      </c>
      <c r="M95" s="121">
        <v>20000</v>
      </c>
      <c r="N95" s="121">
        <v>20000</v>
      </c>
      <c r="O95" s="121">
        <v>20000</v>
      </c>
      <c r="P95" s="121">
        <v>20000</v>
      </c>
      <c r="Q95" s="121">
        <v>5000</v>
      </c>
      <c r="R95" s="121">
        <v>5000</v>
      </c>
      <c r="S95" s="121">
        <v>5000</v>
      </c>
      <c r="T95" s="121">
        <v>5000</v>
      </c>
      <c r="U95" s="121">
        <v>5000</v>
      </c>
      <c r="V95" s="121">
        <v>5000</v>
      </c>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28" customFormat="1" ht="29.25" customHeight="1" x14ac:dyDescent="0.25">
      <c r="A96" s="271" t="s">
        <v>304</v>
      </c>
      <c r="B96" s="272"/>
      <c r="C96" s="272"/>
      <c r="D96" s="273"/>
      <c r="E96" s="109">
        <v>2653</v>
      </c>
      <c r="F96" s="109">
        <v>244</v>
      </c>
      <c r="G96" s="109">
        <v>346</v>
      </c>
      <c r="H96" s="121">
        <f t="shared" si="14"/>
        <v>778500</v>
      </c>
      <c r="I96" s="121">
        <f t="shared" si="15"/>
        <v>740000</v>
      </c>
      <c r="J96" s="121">
        <f t="shared" si="16"/>
        <v>740000</v>
      </c>
      <c r="K96" s="121">
        <f>330000+40000</f>
        <v>370000</v>
      </c>
      <c r="L96" s="121">
        <v>330000</v>
      </c>
      <c r="M96" s="121">
        <v>330000</v>
      </c>
      <c r="N96" s="121">
        <v>330000</v>
      </c>
      <c r="O96" s="121">
        <v>330000</v>
      </c>
      <c r="P96" s="121">
        <v>330000</v>
      </c>
      <c r="Q96" s="121">
        <v>25000</v>
      </c>
      <c r="R96" s="121">
        <v>25000</v>
      </c>
      <c r="S96" s="121">
        <v>25000</v>
      </c>
      <c r="T96" s="121">
        <f>55000-1500</f>
        <v>53500</v>
      </c>
      <c r="U96" s="121">
        <v>55000</v>
      </c>
      <c r="V96" s="121">
        <v>55000</v>
      </c>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28" customFormat="1" ht="29.25" customHeight="1" x14ac:dyDescent="0.25">
      <c r="A97" s="313" t="s">
        <v>318</v>
      </c>
      <c r="B97" s="314"/>
      <c r="C97" s="314"/>
      <c r="D97" s="315"/>
      <c r="E97" s="109"/>
      <c r="F97" s="109">
        <v>244</v>
      </c>
      <c r="G97" s="109">
        <v>349</v>
      </c>
      <c r="H97" s="121">
        <f>K97+N97+Q97+T97</f>
        <v>10000</v>
      </c>
      <c r="I97" s="121">
        <f t="shared" si="15"/>
        <v>0</v>
      </c>
      <c r="J97" s="121">
        <f t="shared" si="16"/>
        <v>0</v>
      </c>
      <c r="K97" s="121"/>
      <c r="L97" s="121"/>
      <c r="M97" s="121"/>
      <c r="N97" s="229">
        <f>10000</f>
        <v>10000</v>
      </c>
      <c r="O97" s="121"/>
      <c r="P97" s="121"/>
      <c r="Q97" s="121"/>
      <c r="R97" s="121"/>
      <c r="S97" s="121"/>
      <c r="T97" s="121"/>
      <c r="U97" s="121"/>
      <c r="V97" s="12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28" customFormat="1" ht="32.25" customHeight="1" x14ac:dyDescent="0.25">
      <c r="A98" s="506" t="s">
        <v>264</v>
      </c>
      <c r="B98" s="506"/>
      <c r="C98" s="506"/>
      <c r="D98" s="506"/>
      <c r="E98" s="109">
        <v>2660</v>
      </c>
      <c r="F98" s="109">
        <v>400</v>
      </c>
      <c r="G98" s="109"/>
      <c r="H98" s="121">
        <f t="shared" si="0"/>
        <v>0</v>
      </c>
      <c r="I98" s="121">
        <f t="shared" si="1"/>
        <v>0</v>
      </c>
      <c r="J98" s="121">
        <f t="shared" si="2"/>
        <v>0</v>
      </c>
      <c r="K98" s="121"/>
      <c r="L98" s="121"/>
      <c r="M98" s="121"/>
      <c r="N98" s="121"/>
      <c r="O98" s="121"/>
      <c r="P98" s="121"/>
      <c r="Q98" s="121"/>
      <c r="R98" s="121"/>
      <c r="S98" s="121"/>
      <c r="T98" s="121"/>
      <c r="U98" s="121"/>
      <c r="V98" s="12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28" customFormat="1" ht="43.5" customHeight="1" x14ac:dyDescent="0.25">
      <c r="A99" s="506" t="s">
        <v>265</v>
      </c>
      <c r="B99" s="506"/>
      <c r="C99" s="506"/>
      <c r="D99" s="506"/>
      <c r="E99" s="109">
        <v>2661</v>
      </c>
      <c r="F99" s="109">
        <v>406</v>
      </c>
      <c r="G99" s="109"/>
      <c r="H99" s="121">
        <f t="shared" si="0"/>
        <v>0</v>
      </c>
      <c r="I99" s="121">
        <f t="shared" si="1"/>
        <v>0</v>
      </c>
      <c r="J99" s="121">
        <f t="shared" si="2"/>
        <v>0</v>
      </c>
      <c r="K99" s="121"/>
      <c r="L99" s="121"/>
      <c r="M99" s="121"/>
      <c r="N99" s="121"/>
      <c r="O99" s="121"/>
      <c r="P99" s="121"/>
      <c r="Q99" s="121"/>
      <c r="R99" s="121"/>
      <c r="S99" s="121"/>
      <c r="T99" s="121"/>
      <c r="U99" s="121"/>
      <c r="V99" s="12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row>
    <row r="100" spans="1:75" s="28" customFormat="1" ht="34.5" customHeight="1" x14ac:dyDescent="0.25">
      <c r="A100" s="506" t="s">
        <v>266</v>
      </c>
      <c r="B100" s="506"/>
      <c r="C100" s="506"/>
      <c r="D100" s="506"/>
      <c r="E100" s="109">
        <v>2662</v>
      </c>
      <c r="F100" s="109">
        <v>407</v>
      </c>
      <c r="G100" s="109"/>
      <c r="H100" s="121">
        <f t="shared" si="0"/>
        <v>0</v>
      </c>
      <c r="I100" s="121">
        <f t="shared" si="1"/>
        <v>0</v>
      </c>
      <c r="J100" s="121">
        <f t="shared" si="2"/>
        <v>0</v>
      </c>
      <c r="K100" s="121"/>
      <c r="L100" s="121"/>
      <c r="M100" s="121"/>
      <c r="N100" s="121"/>
      <c r="O100" s="121"/>
      <c r="P100" s="121"/>
      <c r="Q100" s="121"/>
      <c r="R100" s="121"/>
      <c r="S100" s="121"/>
      <c r="T100" s="121"/>
      <c r="U100" s="121"/>
      <c r="V100" s="12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28" customFormat="1" ht="19.5" customHeight="1" x14ac:dyDescent="0.25">
      <c r="A101" s="519" t="s">
        <v>143</v>
      </c>
      <c r="B101" s="519"/>
      <c r="C101" s="519"/>
      <c r="D101" s="519"/>
      <c r="E101" s="124">
        <v>3000</v>
      </c>
      <c r="F101" s="124">
        <v>100</v>
      </c>
      <c r="G101" s="124"/>
      <c r="H101" s="123">
        <f t="shared" si="0"/>
        <v>0</v>
      </c>
      <c r="I101" s="123">
        <f t="shared" si="1"/>
        <v>0</v>
      </c>
      <c r="J101" s="123">
        <f t="shared" si="2"/>
        <v>0</v>
      </c>
      <c r="K101" s="123"/>
      <c r="L101" s="123"/>
      <c r="M101" s="123"/>
      <c r="N101" s="123"/>
      <c r="O101" s="123"/>
      <c r="P101" s="123"/>
      <c r="Q101" s="123"/>
      <c r="R101" s="123"/>
      <c r="S101" s="123"/>
      <c r="T101" s="123"/>
      <c r="U101" s="123"/>
      <c r="V101" s="123"/>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row>
    <row r="102" spans="1:75" s="28" customFormat="1" ht="30.75" customHeight="1" x14ac:dyDescent="0.25">
      <c r="A102" s="506" t="s">
        <v>144</v>
      </c>
      <c r="B102" s="506"/>
      <c r="C102" s="506"/>
      <c r="D102" s="506"/>
      <c r="E102" s="109">
        <v>3010</v>
      </c>
      <c r="F102" s="109"/>
      <c r="G102" s="109"/>
      <c r="H102" s="121">
        <f t="shared" si="0"/>
        <v>0</v>
      </c>
      <c r="I102" s="121">
        <f t="shared" si="1"/>
        <v>0</v>
      </c>
      <c r="J102" s="121">
        <f t="shared" si="2"/>
        <v>0</v>
      </c>
      <c r="K102" s="121"/>
      <c r="L102" s="121"/>
      <c r="M102" s="121"/>
      <c r="N102" s="121"/>
      <c r="O102" s="121"/>
      <c r="P102" s="121"/>
      <c r="Q102" s="121"/>
      <c r="R102" s="121"/>
      <c r="S102" s="121"/>
      <c r="T102" s="121"/>
      <c r="U102" s="121"/>
      <c r="V102" s="12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28" customFormat="1" ht="19.5" customHeight="1" x14ac:dyDescent="0.25">
      <c r="A103" s="319" t="s">
        <v>145</v>
      </c>
      <c r="B103" s="319"/>
      <c r="C103" s="319"/>
      <c r="D103" s="319"/>
      <c r="E103" s="84">
        <v>3020</v>
      </c>
      <c r="F103" s="84"/>
      <c r="G103" s="84"/>
      <c r="H103" s="121">
        <f t="shared" ref="H103:J106" si="20">K103+N103+Q103+T103</f>
        <v>0</v>
      </c>
      <c r="I103" s="121">
        <f t="shared" si="20"/>
        <v>0</v>
      </c>
      <c r="J103" s="121">
        <f t="shared" si="20"/>
        <v>0</v>
      </c>
      <c r="K103" s="121"/>
      <c r="L103" s="121"/>
      <c r="M103" s="121"/>
      <c r="N103" s="121"/>
      <c r="O103" s="121"/>
      <c r="P103" s="121"/>
      <c r="Q103" s="121"/>
      <c r="R103" s="121"/>
      <c r="S103" s="121"/>
      <c r="T103" s="121"/>
      <c r="U103" s="121"/>
      <c r="V103" s="12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row>
    <row r="104" spans="1:75" s="28" customFormat="1" ht="19.5" customHeight="1" x14ac:dyDescent="0.25">
      <c r="A104" s="319" t="s">
        <v>146</v>
      </c>
      <c r="B104" s="319"/>
      <c r="C104" s="319"/>
      <c r="D104" s="319"/>
      <c r="E104" s="84">
        <v>3030</v>
      </c>
      <c r="F104" s="84"/>
      <c r="G104" s="84"/>
      <c r="H104" s="121">
        <f t="shared" si="20"/>
        <v>0</v>
      </c>
      <c r="I104" s="121">
        <f t="shared" si="20"/>
        <v>0</v>
      </c>
      <c r="J104" s="121">
        <f t="shared" si="20"/>
        <v>0</v>
      </c>
      <c r="K104" s="121"/>
      <c r="L104" s="121"/>
      <c r="M104" s="121"/>
      <c r="N104" s="121"/>
      <c r="O104" s="121"/>
      <c r="P104" s="121"/>
      <c r="Q104" s="121"/>
      <c r="R104" s="121"/>
      <c r="S104" s="121"/>
      <c r="T104" s="121"/>
      <c r="U104" s="121"/>
      <c r="V104" s="12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row>
    <row r="105" spans="1:75" s="28" customFormat="1" ht="19.5" customHeight="1" x14ac:dyDescent="0.25">
      <c r="A105" s="472" t="s">
        <v>147</v>
      </c>
      <c r="B105" s="472"/>
      <c r="C105" s="472"/>
      <c r="D105" s="472"/>
      <c r="E105" s="85">
        <v>4000</v>
      </c>
      <c r="F105" s="85" t="s">
        <v>9</v>
      </c>
      <c r="G105" s="85"/>
      <c r="H105" s="123">
        <f t="shared" si="20"/>
        <v>0</v>
      </c>
      <c r="I105" s="123">
        <f t="shared" si="20"/>
        <v>0</v>
      </c>
      <c r="J105" s="123">
        <f t="shared" si="20"/>
        <v>0</v>
      </c>
      <c r="K105" s="123"/>
      <c r="L105" s="123"/>
      <c r="M105" s="123"/>
      <c r="N105" s="123"/>
      <c r="O105" s="123"/>
      <c r="P105" s="123"/>
      <c r="Q105" s="123"/>
      <c r="R105" s="123"/>
      <c r="S105" s="123"/>
      <c r="T105" s="123"/>
      <c r="U105" s="123"/>
      <c r="V105" s="123"/>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row>
    <row r="106" spans="1:75" s="28" customFormat="1" ht="26.25" customHeight="1" x14ac:dyDescent="0.25">
      <c r="A106" s="319" t="s">
        <v>148</v>
      </c>
      <c r="B106" s="319"/>
      <c r="C106" s="319"/>
      <c r="D106" s="319"/>
      <c r="E106" s="84">
        <v>4010</v>
      </c>
      <c r="F106" s="76">
        <v>610</v>
      </c>
      <c r="G106" s="84"/>
      <c r="H106" s="121">
        <f t="shared" si="20"/>
        <v>0</v>
      </c>
      <c r="I106" s="121">
        <f t="shared" si="20"/>
        <v>0</v>
      </c>
      <c r="J106" s="121">
        <f t="shared" si="20"/>
        <v>0</v>
      </c>
      <c r="K106" s="121"/>
      <c r="L106" s="121"/>
      <c r="M106" s="121"/>
      <c r="N106" s="121"/>
      <c r="O106" s="121"/>
      <c r="P106" s="121"/>
      <c r="Q106" s="121"/>
      <c r="R106" s="121"/>
      <c r="S106" s="121"/>
      <c r="T106" s="121"/>
      <c r="U106" s="121"/>
      <c r="V106" s="12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row>
    <row r="107" spans="1:75" s="28" customFormat="1" ht="19.5" customHeight="1" x14ac:dyDescent="0.25">
      <c r="A107" s="79"/>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row>
    <row r="108" spans="1:75" s="70" customFormat="1" ht="20.25" customHeight="1" x14ac:dyDescent="0.25">
      <c r="A108" s="36" t="s">
        <v>225</v>
      </c>
      <c r="B108" s="14"/>
      <c r="C108" s="18"/>
      <c r="D108" s="103"/>
      <c r="E108" s="15"/>
      <c r="F108" s="18"/>
      <c r="G108" s="103"/>
      <c r="H108" s="29"/>
      <c r="I108" s="35"/>
      <c r="J108" s="18"/>
      <c r="K108" s="106" t="s">
        <v>280</v>
      </c>
      <c r="L108" s="106"/>
      <c r="M108" s="71"/>
      <c r="N108" s="71"/>
      <c r="O108" s="71"/>
      <c r="P108" s="71"/>
      <c r="Q108" s="71"/>
      <c r="R108" s="71"/>
      <c r="S108" s="71"/>
      <c r="T108" s="71"/>
      <c r="U108" s="71"/>
      <c r="V108" s="71"/>
    </row>
    <row r="109" spans="1:75" s="70" customFormat="1" ht="11.25" customHeight="1" x14ac:dyDescent="0.2">
      <c r="A109" s="37"/>
      <c r="B109" s="16" t="s">
        <v>30</v>
      </c>
      <c r="C109" s="517"/>
      <c r="D109" s="517"/>
      <c r="E109" s="16"/>
      <c r="F109" s="517"/>
      <c r="G109" s="517"/>
      <c r="H109" s="518" t="s">
        <v>31</v>
      </c>
      <c r="I109" s="518"/>
      <c r="J109" s="54"/>
      <c r="K109" s="524" t="s">
        <v>11</v>
      </c>
      <c r="L109" s="524"/>
      <c r="M109" s="71"/>
      <c r="N109" s="71"/>
      <c r="O109" s="71"/>
      <c r="P109" s="71"/>
      <c r="Q109" s="71"/>
      <c r="R109" s="71"/>
      <c r="S109" s="71"/>
      <c r="T109" s="71"/>
      <c r="U109" s="71"/>
      <c r="V109" s="71"/>
    </row>
    <row r="110" spans="1:75" s="70" customFormat="1" ht="23.25" customHeight="1" x14ac:dyDescent="0.25">
      <c r="A110" s="36" t="s">
        <v>251</v>
      </c>
      <c r="B110" s="14"/>
      <c r="C110" s="18"/>
      <c r="D110" s="103"/>
      <c r="E110" s="15"/>
      <c r="F110" s="18"/>
      <c r="G110" s="103"/>
      <c r="H110" s="29"/>
      <c r="I110" s="35"/>
      <c r="J110" s="18"/>
      <c r="K110" s="106" t="s">
        <v>282</v>
      </c>
      <c r="L110" s="106"/>
      <c r="M110" s="71"/>
      <c r="N110" s="71"/>
      <c r="O110" s="71"/>
      <c r="P110" s="71"/>
      <c r="Q110" s="71"/>
      <c r="R110" s="71"/>
      <c r="S110" s="71"/>
      <c r="T110" s="71"/>
      <c r="U110" s="71"/>
      <c r="V110" s="71"/>
    </row>
    <row r="111" spans="1:75" s="70" customFormat="1" ht="20.25" customHeight="1" x14ac:dyDescent="0.2">
      <c r="A111" s="31"/>
      <c r="B111" s="16"/>
      <c r="C111" s="520"/>
      <c r="D111" s="520"/>
      <c r="E111" s="16"/>
      <c r="F111" s="520"/>
      <c r="G111" s="520"/>
      <c r="H111" s="521" t="s">
        <v>31</v>
      </c>
      <c r="I111" s="521"/>
      <c r="J111" s="54"/>
      <c r="K111" s="524" t="s">
        <v>11</v>
      </c>
      <c r="L111" s="524"/>
      <c r="M111" s="71"/>
      <c r="N111" s="71"/>
      <c r="O111" s="71"/>
      <c r="P111" s="71"/>
      <c r="Q111" s="71"/>
      <c r="R111" s="71"/>
      <c r="S111" s="71"/>
      <c r="T111" s="71"/>
      <c r="U111" s="71"/>
      <c r="V111" s="71"/>
    </row>
    <row r="112" spans="1:75" s="70" customFormat="1" ht="20.25" customHeight="1" x14ac:dyDescent="0.2">
      <c r="A112" s="31"/>
      <c r="B112" s="521" t="s">
        <v>248</v>
      </c>
      <c r="C112" s="521"/>
      <c r="D112" s="75"/>
      <c r="E112" s="16"/>
      <c r="F112" s="75"/>
      <c r="G112" s="75"/>
      <c r="H112" s="74"/>
      <c r="I112" s="74"/>
      <c r="J112" s="54"/>
      <c r="K112" s="107"/>
      <c r="L112" s="107"/>
      <c r="M112" s="71"/>
      <c r="N112" s="71"/>
      <c r="O112" s="71"/>
      <c r="P112" s="71"/>
      <c r="Q112" s="71"/>
      <c r="R112" s="71"/>
      <c r="S112" s="71"/>
      <c r="T112" s="71"/>
      <c r="U112" s="71"/>
      <c r="V112" s="71"/>
    </row>
    <row r="113" spans="1:148" s="70" customFormat="1" ht="24" customHeight="1" x14ac:dyDescent="0.25">
      <c r="A113" s="36" t="s">
        <v>228</v>
      </c>
      <c r="B113" s="14"/>
      <c r="C113" s="18"/>
      <c r="D113" s="103"/>
      <c r="E113" s="15"/>
      <c r="F113" s="18"/>
      <c r="G113" s="103"/>
      <c r="H113" s="29"/>
      <c r="I113" s="35"/>
      <c r="J113" s="18"/>
      <c r="K113" s="106" t="s">
        <v>282</v>
      </c>
      <c r="L113" s="106"/>
      <c r="M113" s="71"/>
      <c r="N113" s="71"/>
      <c r="O113" s="71"/>
      <c r="P113" s="71"/>
      <c r="Q113" s="71"/>
      <c r="R113" s="71"/>
      <c r="S113" s="71"/>
      <c r="T113" s="71"/>
      <c r="U113" s="71"/>
      <c r="V113" s="71"/>
    </row>
    <row r="114" spans="1:148" s="70" customFormat="1" ht="22.5" customHeight="1" x14ac:dyDescent="0.2">
      <c r="A114" s="31"/>
      <c r="B114" s="16"/>
      <c r="C114" s="520"/>
      <c r="D114" s="520"/>
      <c r="E114" s="16"/>
      <c r="F114" s="520"/>
      <c r="G114" s="520"/>
      <c r="H114" s="521" t="s">
        <v>31</v>
      </c>
      <c r="I114" s="521"/>
      <c r="J114" s="54"/>
      <c r="K114" s="522" t="s">
        <v>11</v>
      </c>
      <c r="L114" s="522"/>
      <c r="M114" s="71"/>
      <c r="N114" s="71"/>
      <c r="O114" s="71"/>
      <c r="P114" s="71"/>
      <c r="Q114" s="71"/>
      <c r="R114" s="71"/>
      <c r="S114" s="71"/>
      <c r="T114" s="71"/>
      <c r="U114" s="71"/>
      <c r="V114" s="71"/>
    </row>
    <row r="115" spans="1:148" s="70" customFormat="1" ht="9.75" customHeight="1" x14ac:dyDescent="0.2">
      <c r="A115" s="102"/>
      <c r="B115" s="523"/>
      <c r="C115" s="523"/>
      <c r="D115" s="102"/>
      <c r="E115" s="71"/>
      <c r="F115" s="71"/>
      <c r="G115" s="71"/>
      <c r="H115" s="71"/>
      <c r="I115" s="71"/>
      <c r="J115" s="71"/>
      <c r="K115" s="71"/>
      <c r="L115" s="71"/>
      <c r="M115" s="71"/>
      <c r="N115" s="71"/>
      <c r="O115" s="71"/>
      <c r="P115" s="71"/>
      <c r="Q115" s="71"/>
      <c r="R115" s="71"/>
      <c r="S115" s="71"/>
      <c r="T115" s="71"/>
      <c r="U115" s="71"/>
      <c r="V115" s="71"/>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row>
    <row r="116" spans="1:148" s="70" customFormat="1" ht="10.5" customHeight="1" x14ac:dyDescent="0.2">
      <c r="A116" s="256" t="s">
        <v>149</v>
      </c>
      <c r="B116" s="256"/>
      <c r="C116" s="256"/>
      <c r="D116" s="256"/>
      <c r="E116" s="256"/>
      <c r="F116" s="256"/>
      <c r="G116" s="256"/>
      <c r="H116" s="256"/>
      <c r="I116" s="256"/>
      <c r="J116" s="256"/>
      <c r="K116" s="256"/>
      <c r="L116" s="256"/>
      <c r="M116" s="256"/>
      <c r="N116" s="256"/>
    </row>
    <row r="117" spans="1:148" s="70" customFormat="1" ht="14.25" customHeight="1" x14ac:dyDescent="0.2">
      <c r="A117" s="256" t="s">
        <v>268</v>
      </c>
      <c r="B117" s="256"/>
      <c r="C117" s="256"/>
      <c r="D117" s="256"/>
      <c r="E117" s="256"/>
      <c r="F117" s="256"/>
      <c r="G117" s="256"/>
      <c r="H117" s="256"/>
      <c r="I117" s="256"/>
      <c r="J117" s="256"/>
      <c r="K117" s="256"/>
      <c r="L117" s="256"/>
      <c r="M117" s="256"/>
      <c r="N117" s="256"/>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row>
    <row r="118" spans="1:148" s="70" customFormat="1" ht="12" customHeight="1" x14ac:dyDescent="0.2">
      <c r="A118" s="256" t="s">
        <v>150</v>
      </c>
      <c r="B118" s="256"/>
      <c r="C118" s="256"/>
      <c r="D118" s="256"/>
      <c r="E118" s="256"/>
      <c r="F118" s="256"/>
      <c r="G118" s="256"/>
      <c r="H118" s="256"/>
      <c r="I118" s="256"/>
      <c r="J118" s="256"/>
      <c r="K118" s="256"/>
      <c r="L118" s="256"/>
      <c r="M118" s="256"/>
      <c r="N118" s="256"/>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row>
    <row r="119" spans="1:148" s="70" customFormat="1" ht="17.25" customHeight="1" x14ac:dyDescent="0.2">
      <c r="A119" s="262" t="s">
        <v>151</v>
      </c>
      <c r="B119" s="262"/>
      <c r="C119" s="262"/>
      <c r="D119" s="262"/>
      <c r="E119" s="262"/>
      <c r="F119" s="262"/>
      <c r="G119" s="262"/>
      <c r="H119" s="262"/>
      <c r="I119" s="262"/>
      <c r="J119" s="262"/>
      <c r="K119" s="262"/>
      <c r="L119" s="262"/>
      <c r="M119" s="262"/>
      <c r="N119" s="262"/>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row>
    <row r="120" spans="1:148" s="70" customFormat="1" ht="11.25" customHeight="1" x14ac:dyDescent="0.2">
      <c r="A120" s="262" t="s">
        <v>152</v>
      </c>
      <c r="B120" s="262"/>
      <c r="C120" s="262"/>
      <c r="D120" s="262"/>
      <c r="E120" s="262"/>
      <c r="F120" s="262"/>
      <c r="G120" s="262"/>
      <c r="H120" s="262"/>
      <c r="I120" s="262"/>
      <c r="J120" s="262"/>
      <c r="K120" s="262"/>
      <c r="L120" s="262"/>
      <c r="M120" s="262"/>
      <c r="N120" s="262"/>
    </row>
    <row r="121" spans="1:148" s="70" customFormat="1" ht="11.25" customHeight="1" x14ac:dyDescent="0.2">
      <c r="A121" s="262" t="s">
        <v>153</v>
      </c>
      <c r="B121" s="262"/>
      <c r="C121" s="262"/>
      <c r="D121" s="262"/>
      <c r="E121" s="262"/>
      <c r="F121" s="262"/>
      <c r="G121" s="262"/>
      <c r="H121" s="262"/>
      <c r="I121" s="262"/>
      <c r="J121" s="262"/>
      <c r="K121" s="262"/>
      <c r="L121" s="262"/>
      <c r="M121" s="262"/>
      <c r="N121" s="262"/>
    </row>
    <row r="122" spans="1:148" s="70" customFormat="1" ht="28.5" customHeight="1" x14ac:dyDescent="0.2">
      <c r="A122" s="262" t="s">
        <v>154</v>
      </c>
      <c r="B122" s="262"/>
      <c r="C122" s="262"/>
      <c r="D122" s="262"/>
      <c r="E122" s="262"/>
      <c r="F122" s="262"/>
      <c r="G122" s="262"/>
      <c r="H122" s="262"/>
      <c r="I122" s="262"/>
      <c r="J122" s="262"/>
      <c r="K122" s="262"/>
      <c r="L122" s="262"/>
      <c r="M122" s="262"/>
      <c r="N122" s="262"/>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row>
    <row r="123" spans="1:148" s="28" customFormat="1" ht="12.75" customHeight="1" x14ac:dyDescent="0.25">
      <c r="A123" s="262" t="s">
        <v>267</v>
      </c>
      <c r="B123" s="262"/>
      <c r="C123" s="262"/>
      <c r="D123" s="262"/>
      <c r="E123" s="262"/>
      <c r="F123" s="262"/>
      <c r="G123" s="262"/>
      <c r="H123" s="262"/>
      <c r="I123" s="262"/>
      <c r="J123" s="262"/>
      <c r="K123" s="262"/>
      <c r="L123" s="262"/>
      <c r="M123" s="262"/>
      <c r="N123" s="262"/>
      <c r="O123" s="70"/>
      <c r="P123" s="70"/>
      <c r="Q123" s="70"/>
      <c r="R123" s="70"/>
      <c r="S123" s="70"/>
      <c r="T123" s="70"/>
      <c r="U123" s="70"/>
      <c r="V123" s="70"/>
    </row>
    <row r="124" spans="1:148" s="28" customFormat="1" ht="41.25" customHeight="1" x14ac:dyDescent="0.25">
      <c r="A124" s="262" t="s">
        <v>155</v>
      </c>
      <c r="B124" s="262"/>
      <c r="C124" s="262"/>
      <c r="D124" s="262"/>
      <c r="E124" s="262"/>
      <c r="F124" s="262"/>
      <c r="G124" s="262"/>
      <c r="H124" s="262"/>
      <c r="I124" s="262"/>
      <c r="J124" s="262"/>
      <c r="K124" s="262"/>
      <c r="L124" s="262"/>
      <c r="M124" s="262"/>
      <c r="N124" s="262"/>
      <c r="O124" s="78"/>
      <c r="P124" s="78"/>
      <c r="Q124" s="78"/>
      <c r="R124" s="78"/>
      <c r="S124" s="78"/>
      <c r="T124" s="78"/>
      <c r="U124" s="78"/>
      <c r="V124" s="78"/>
    </row>
    <row r="125" spans="1:148" s="28" customFormat="1" ht="30" customHeight="1" x14ac:dyDescent="0.25">
      <c r="A125" s="262" t="s">
        <v>260</v>
      </c>
      <c r="B125" s="262"/>
      <c r="C125" s="262"/>
      <c r="D125" s="262"/>
      <c r="E125" s="262"/>
      <c r="F125" s="262"/>
      <c r="G125" s="262"/>
      <c r="H125" s="262"/>
      <c r="I125" s="262"/>
      <c r="J125" s="262"/>
      <c r="K125" s="78"/>
      <c r="L125" s="78"/>
      <c r="M125" s="78"/>
      <c r="N125" s="78"/>
      <c r="O125" s="78"/>
      <c r="P125" s="78"/>
      <c r="Q125" s="78"/>
      <c r="R125" s="78"/>
      <c r="S125" s="78"/>
      <c r="T125" s="78"/>
      <c r="U125" s="78"/>
      <c r="V125" s="78"/>
    </row>
    <row r="126" spans="1:148" s="28" customFormat="1" ht="39.75" customHeight="1" x14ac:dyDescent="0.25">
      <c r="A126" s="262" t="s">
        <v>156</v>
      </c>
      <c r="B126" s="262"/>
      <c r="C126" s="262"/>
      <c r="D126" s="262"/>
      <c r="E126" s="262"/>
      <c r="F126" s="262"/>
      <c r="G126" s="262"/>
      <c r="H126" s="262"/>
      <c r="I126" s="262"/>
      <c r="J126" s="262"/>
      <c r="K126" s="262"/>
      <c r="L126" s="262"/>
      <c r="M126" s="262"/>
      <c r="N126" s="262"/>
      <c r="O126" s="78"/>
      <c r="P126" s="78"/>
      <c r="Q126" s="78"/>
      <c r="R126" s="78"/>
      <c r="S126" s="78"/>
      <c r="T126" s="78"/>
      <c r="U126" s="78"/>
      <c r="V126" s="78"/>
    </row>
    <row r="127" spans="1:148" s="28" customFormat="1" ht="19.5" customHeight="1" x14ac:dyDescent="0.25">
      <c r="A127" s="262" t="s">
        <v>157</v>
      </c>
      <c r="B127" s="262"/>
      <c r="C127" s="262"/>
      <c r="D127" s="262"/>
      <c r="E127" s="262"/>
      <c r="F127" s="262"/>
      <c r="G127" s="262"/>
      <c r="H127" s="262"/>
      <c r="I127" s="262"/>
      <c r="J127" s="262"/>
      <c r="K127" s="262"/>
      <c r="L127" s="262"/>
      <c r="M127" s="262"/>
      <c r="N127" s="262"/>
      <c r="O127" s="70"/>
      <c r="P127" s="70"/>
      <c r="Q127" s="70"/>
      <c r="R127" s="70"/>
      <c r="S127" s="70"/>
      <c r="T127" s="70"/>
      <c r="U127" s="70"/>
      <c r="V127" s="70"/>
    </row>
    <row r="128" spans="1:148" s="28" customFormat="1" ht="19.5" customHeight="1" x14ac:dyDescent="0.25">
      <c r="A128" s="262" t="s">
        <v>158</v>
      </c>
      <c r="B128" s="262"/>
      <c r="C128" s="262"/>
      <c r="D128" s="262"/>
      <c r="E128" s="262"/>
      <c r="F128" s="262"/>
      <c r="G128" s="262"/>
      <c r="H128" s="262"/>
      <c r="I128" s="262"/>
      <c r="J128" s="262"/>
      <c r="K128" s="262"/>
      <c r="L128" s="262"/>
      <c r="M128" s="262"/>
      <c r="N128" s="262"/>
      <c r="O128" s="70"/>
      <c r="P128" s="70"/>
      <c r="Q128" s="70"/>
      <c r="R128" s="70"/>
      <c r="S128" s="70"/>
      <c r="T128" s="70"/>
      <c r="U128" s="70"/>
      <c r="V128" s="70"/>
    </row>
    <row r="129" spans="1:22" s="28" customFormat="1" ht="40.5" customHeight="1" x14ac:dyDescent="0.25">
      <c r="A129" s="262" t="s">
        <v>159</v>
      </c>
      <c r="B129" s="262"/>
      <c r="C129" s="262"/>
      <c r="D129" s="262"/>
      <c r="E129" s="262"/>
      <c r="F129" s="262"/>
      <c r="G129" s="262"/>
      <c r="H129" s="262"/>
      <c r="I129" s="262"/>
      <c r="J129" s="262"/>
      <c r="K129" s="262"/>
      <c r="L129" s="262"/>
      <c r="M129" s="262"/>
      <c r="N129" s="262"/>
      <c r="O129" s="78"/>
      <c r="P129" s="78"/>
      <c r="Q129" s="78"/>
      <c r="R129" s="78"/>
      <c r="S129" s="78"/>
      <c r="T129" s="78"/>
      <c r="U129" s="78"/>
      <c r="V129" s="78"/>
    </row>
    <row r="130" spans="1:22" s="28" customFormat="1" ht="19.5" customHeight="1" x14ac:dyDescent="0.25">
      <c r="A130" s="28" t="s">
        <v>323</v>
      </c>
      <c r="G130" s="108"/>
      <c r="H130" s="108">
        <f>H13+H15-H43</f>
        <v>0</v>
      </c>
      <c r="I130" s="108">
        <f>I13+I15-I43</f>
        <v>0</v>
      </c>
      <c r="J130" s="108">
        <f>J13+J15-J43</f>
        <v>0</v>
      </c>
      <c r="K130" s="108">
        <f t="shared" ref="K130:V130" si="21">K13+K15-K43</f>
        <v>0</v>
      </c>
      <c r="L130" s="108">
        <f t="shared" si="21"/>
        <v>0</v>
      </c>
      <c r="M130" s="108">
        <f t="shared" si="21"/>
        <v>0</v>
      </c>
      <c r="N130" s="108">
        <f t="shared" si="21"/>
        <v>0</v>
      </c>
      <c r="O130" s="108">
        <f t="shared" si="21"/>
        <v>0</v>
      </c>
      <c r="P130" s="108">
        <f t="shared" si="21"/>
        <v>0</v>
      </c>
      <c r="Q130" s="108">
        <f t="shared" si="21"/>
        <v>0</v>
      </c>
      <c r="R130" s="108">
        <f t="shared" si="21"/>
        <v>0</v>
      </c>
      <c r="S130" s="108">
        <f t="shared" si="21"/>
        <v>0</v>
      </c>
      <c r="T130" s="108">
        <f t="shared" si="21"/>
        <v>0</v>
      </c>
      <c r="U130" s="108">
        <f t="shared" si="21"/>
        <v>0</v>
      </c>
      <c r="V130" s="28">
        <f t="shared" si="21"/>
        <v>0</v>
      </c>
    </row>
    <row r="131" spans="1:22" s="28" customFormat="1" ht="19.5" customHeight="1" x14ac:dyDescent="0.25">
      <c r="K131" s="108"/>
      <c r="L131" s="108"/>
      <c r="M131" s="108"/>
      <c r="N131" s="108"/>
      <c r="O131" s="108"/>
      <c r="P131" s="108"/>
      <c r="Q131" s="108"/>
      <c r="R131" s="108"/>
      <c r="S131" s="108"/>
      <c r="T131" s="108"/>
      <c r="U131" s="108"/>
    </row>
    <row r="132" spans="1:22" s="28" customFormat="1" ht="19.5" customHeight="1" x14ac:dyDescent="0.25"/>
    <row r="133" spans="1:22" s="28" customFormat="1" ht="19.5" customHeight="1" x14ac:dyDescent="0.25"/>
    <row r="134" spans="1:22" s="28" customFormat="1" ht="19.5" customHeight="1" x14ac:dyDescent="0.25"/>
    <row r="135" spans="1:22" s="28" customFormat="1" ht="19.5" customHeight="1" x14ac:dyDescent="0.25"/>
    <row r="136" spans="1:22" s="28" customFormat="1" ht="19.5" customHeight="1" x14ac:dyDescent="0.25"/>
    <row r="137" spans="1:22" s="28" customFormat="1" ht="19.5" customHeight="1" x14ac:dyDescent="0.25"/>
    <row r="138" spans="1:22" s="28" customFormat="1" ht="19.5" customHeight="1" x14ac:dyDescent="0.25"/>
    <row r="139" spans="1:22" s="28" customFormat="1" ht="19.5" customHeight="1" x14ac:dyDescent="0.25"/>
    <row r="140" spans="1:22" s="28" customFormat="1" ht="19.5" customHeight="1" x14ac:dyDescent="0.25"/>
    <row r="141" spans="1:22" s="28" customFormat="1" ht="19.5" customHeight="1" x14ac:dyDescent="0.25"/>
    <row r="142" spans="1:22" s="28" customFormat="1" ht="19.5" customHeight="1" x14ac:dyDescent="0.25"/>
    <row r="143" spans="1:22" s="28" customFormat="1" ht="19.5" customHeight="1" x14ac:dyDescent="0.25"/>
    <row r="144" spans="1:22" s="28" customFormat="1" ht="19.5" customHeight="1" x14ac:dyDescent="0.25"/>
    <row r="145" s="28" customFormat="1" ht="19.5" customHeight="1" x14ac:dyDescent="0.25"/>
    <row r="146" s="28" customFormat="1" ht="19.5" customHeight="1" x14ac:dyDescent="0.25"/>
    <row r="147" s="28" customFormat="1" ht="19.5" customHeight="1" x14ac:dyDescent="0.25"/>
    <row r="148" s="28" customFormat="1" ht="19.5" customHeight="1" x14ac:dyDescent="0.25"/>
    <row r="149" s="28" customFormat="1" ht="19.5" customHeight="1" x14ac:dyDescent="0.25"/>
    <row r="150" s="28" customFormat="1" ht="19.5" customHeight="1" x14ac:dyDescent="0.25"/>
    <row r="151" s="28" customFormat="1" ht="19.5" customHeight="1" x14ac:dyDescent="0.25"/>
    <row r="152" s="28" customFormat="1" ht="19.5" customHeight="1" x14ac:dyDescent="0.25"/>
    <row r="153" s="28" customFormat="1" ht="19.5" customHeight="1" x14ac:dyDescent="0.25"/>
    <row r="154" s="28" customFormat="1" ht="19.5" customHeight="1" x14ac:dyDescent="0.25"/>
    <row r="155" s="28" customFormat="1" ht="19.5" customHeight="1" x14ac:dyDescent="0.25"/>
    <row r="156" s="28" customFormat="1" ht="19.5" customHeight="1" x14ac:dyDescent="0.25"/>
    <row r="157" s="28" customFormat="1" ht="19.5" customHeight="1" x14ac:dyDescent="0.25"/>
    <row r="158" s="28" customFormat="1" ht="19.5" customHeight="1" x14ac:dyDescent="0.25"/>
    <row r="159" s="28" customFormat="1" ht="19.5" customHeight="1" x14ac:dyDescent="0.25"/>
    <row r="160" s="28" customFormat="1" ht="19.5" customHeight="1" x14ac:dyDescent="0.25"/>
    <row r="161" s="28" customFormat="1" ht="19.5" customHeight="1" x14ac:dyDescent="0.25"/>
    <row r="162" s="28" customFormat="1" ht="19.5" customHeight="1" x14ac:dyDescent="0.25"/>
    <row r="163" s="28" customFormat="1" ht="19.5" customHeight="1" x14ac:dyDescent="0.25"/>
    <row r="164" s="28" customFormat="1" ht="19.5" customHeight="1" x14ac:dyDescent="0.25"/>
    <row r="165" s="28" customFormat="1" ht="19.5" customHeight="1" x14ac:dyDescent="0.25"/>
    <row r="166" s="28" customFormat="1" ht="19.5" customHeight="1" x14ac:dyDescent="0.25"/>
    <row r="167" s="28" customFormat="1" ht="19.5" customHeight="1" x14ac:dyDescent="0.25"/>
    <row r="168" s="28" customFormat="1" ht="19.5" customHeight="1" x14ac:dyDescent="0.25"/>
    <row r="169" s="28" customFormat="1" ht="19.5" customHeight="1" x14ac:dyDescent="0.25"/>
    <row r="170" s="28" customFormat="1" ht="19.5" customHeight="1" x14ac:dyDescent="0.25"/>
    <row r="171" s="28" customFormat="1" ht="19.5" customHeight="1" x14ac:dyDescent="0.25"/>
    <row r="172" s="28" customFormat="1" ht="19.5" customHeight="1" x14ac:dyDescent="0.25"/>
    <row r="173" s="28" customFormat="1" ht="19.5" customHeight="1" x14ac:dyDescent="0.25"/>
    <row r="174" s="28" customFormat="1" ht="19.5" customHeight="1" x14ac:dyDescent="0.25"/>
    <row r="175" s="28" customFormat="1" ht="19.5" customHeight="1" x14ac:dyDescent="0.25"/>
    <row r="176" s="28" customFormat="1" ht="19.5" customHeight="1" x14ac:dyDescent="0.25"/>
    <row r="177" s="28" customFormat="1" ht="19.5" customHeight="1" x14ac:dyDescent="0.25"/>
    <row r="178" s="28" customFormat="1" ht="19.5" customHeight="1" x14ac:dyDescent="0.25"/>
    <row r="179" s="28" customFormat="1" ht="19.5" customHeight="1" x14ac:dyDescent="0.25"/>
    <row r="180" s="28" customFormat="1" ht="19.5" customHeight="1" x14ac:dyDescent="0.25"/>
    <row r="181" s="28" customFormat="1" ht="19.5" customHeight="1" x14ac:dyDescent="0.25"/>
    <row r="182" s="28" customFormat="1" ht="19.5" customHeight="1" x14ac:dyDescent="0.25"/>
    <row r="183" s="28" customFormat="1" ht="19.5" customHeight="1" x14ac:dyDescent="0.25"/>
    <row r="184" s="28" customFormat="1" ht="19.5" customHeight="1" x14ac:dyDescent="0.25"/>
    <row r="185" s="28" customFormat="1" ht="19.5" customHeight="1" x14ac:dyDescent="0.25"/>
    <row r="186" s="28" customFormat="1" ht="19.5" customHeight="1" x14ac:dyDescent="0.25"/>
    <row r="187" s="28" customFormat="1" ht="19.5" customHeight="1" x14ac:dyDescent="0.25"/>
    <row r="188" s="28" customFormat="1" ht="19.5" customHeight="1" x14ac:dyDescent="0.25"/>
    <row r="189" s="28" customFormat="1" ht="19.5" customHeight="1" x14ac:dyDescent="0.25"/>
    <row r="190" s="28" customFormat="1" ht="19.5" customHeight="1" x14ac:dyDescent="0.25"/>
    <row r="191" s="28" customFormat="1" ht="19.5" customHeight="1" x14ac:dyDescent="0.25"/>
    <row r="192" s="28" customFormat="1" ht="19.5" customHeight="1" x14ac:dyDescent="0.25"/>
    <row r="193" s="28" customFormat="1" ht="19.5" customHeight="1" x14ac:dyDescent="0.25"/>
    <row r="194" s="28" customFormat="1" ht="19.5" customHeight="1" x14ac:dyDescent="0.25"/>
    <row r="195" s="28" customFormat="1" ht="19.5" customHeight="1" x14ac:dyDescent="0.25"/>
    <row r="196" s="28" customFormat="1" ht="19.5" customHeight="1" x14ac:dyDescent="0.25"/>
    <row r="197" s="28" customFormat="1" ht="19.5" customHeight="1" x14ac:dyDescent="0.25"/>
    <row r="198" s="28" customFormat="1" ht="19.5" customHeight="1" x14ac:dyDescent="0.25"/>
    <row r="199" s="28" customFormat="1" ht="19.5" customHeight="1" x14ac:dyDescent="0.25"/>
    <row r="200" s="28" customFormat="1" ht="19.5" customHeight="1" x14ac:dyDescent="0.25"/>
    <row r="201" s="28" customFormat="1" ht="19.5" customHeight="1" x14ac:dyDescent="0.25"/>
    <row r="202" s="28" customFormat="1" ht="19.5" customHeight="1" x14ac:dyDescent="0.25"/>
    <row r="203" s="28" customFormat="1" ht="19.5" customHeight="1" x14ac:dyDescent="0.25"/>
    <row r="204" s="28" customFormat="1" ht="19.5" customHeight="1" x14ac:dyDescent="0.25"/>
    <row r="205" s="28" customFormat="1" ht="19.5" customHeight="1" x14ac:dyDescent="0.25"/>
    <row r="206" s="28" customFormat="1" ht="19.5" customHeight="1" x14ac:dyDescent="0.25"/>
    <row r="207" s="28" customFormat="1" ht="19.5" customHeight="1" x14ac:dyDescent="0.25"/>
    <row r="208" s="28" customFormat="1" ht="19.5" customHeight="1" x14ac:dyDescent="0.25"/>
    <row r="209" s="28" customFormat="1" ht="19.5" customHeight="1" x14ac:dyDescent="0.25"/>
    <row r="210" s="28" customFormat="1" ht="19.5" customHeight="1" x14ac:dyDescent="0.25"/>
    <row r="211" s="28" customFormat="1" ht="19.5" customHeight="1" x14ac:dyDescent="0.25"/>
    <row r="212" s="28" customFormat="1" ht="19.5" customHeight="1" x14ac:dyDescent="0.25"/>
    <row r="213" s="28" customFormat="1" ht="19.5" customHeight="1" x14ac:dyDescent="0.25"/>
    <row r="214" s="28" customFormat="1" ht="19.5" customHeight="1" x14ac:dyDescent="0.25"/>
    <row r="215" s="28" customFormat="1" ht="19.5" customHeight="1" x14ac:dyDescent="0.25"/>
    <row r="216" s="28" customFormat="1" ht="19.5" customHeight="1" x14ac:dyDescent="0.25"/>
    <row r="217" s="28" customFormat="1" ht="19.5" customHeight="1" x14ac:dyDescent="0.25"/>
    <row r="218" s="28" customFormat="1" ht="19.5" customHeight="1" x14ac:dyDescent="0.25"/>
    <row r="219" s="28" customFormat="1" ht="19.5" customHeight="1" x14ac:dyDescent="0.25"/>
    <row r="220" s="28" customFormat="1" ht="19.5" customHeight="1" x14ac:dyDescent="0.25"/>
    <row r="221" s="28" customFormat="1" ht="19.5" customHeight="1" x14ac:dyDescent="0.25"/>
    <row r="222" s="28" customFormat="1" ht="19.5" customHeight="1" x14ac:dyDescent="0.25"/>
    <row r="223" s="28" customFormat="1" ht="19.5" customHeight="1" x14ac:dyDescent="0.25"/>
    <row r="224" s="28" customFormat="1" ht="19.5" customHeight="1" x14ac:dyDescent="0.25"/>
    <row r="225" s="28" customFormat="1" ht="19.5" customHeight="1" x14ac:dyDescent="0.25"/>
    <row r="226" s="28" customFormat="1" ht="19.5" customHeight="1" x14ac:dyDescent="0.25"/>
    <row r="227" s="28" customFormat="1" ht="19.5" customHeight="1" x14ac:dyDescent="0.25"/>
    <row r="228" s="28" customFormat="1" ht="19.5" customHeight="1" x14ac:dyDescent="0.25"/>
    <row r="229" s="28" customFormat="1" ht="19.5" customHeight="1" x14ac:dyDescent="0.25"/>
    <row r="230" s="28" customFormat="1" ht="19.5" customHeight="1" x14ac:dyDescent="0.25"/>
    <row r="231" s="28" customFormat="1" ht="19.5" customHeight="1" x14ac:dyDescent="0.25"/>
    <row r="232" s="28" customFormat="1" ht="19.5" customHeight="1" x14ac:dyDescent="0.25"/>
    <row r="233" s="28" customFormat="1" ht="19.5" customHeight="1" x14ac:dyDescent="0.25"/>
    <row r="234" s="28" customFormat="1" ht="19.5" customHeight="1" x14ac:dyDescent="0.25"/>
    <row r="235" s="28" customFormat="1" ht="19.5" customHeight="1" x14ac:dyDescent="0.25"/>
    <row r="236" s="28" customFormat="1" ht="19.5" customHeight="1" x14ac:dyDescent="0.25"/>
    <row r="237" s="28" customFormat="1" ht="19.5" customHeight="1" x14ac:dyDescent="0.25"/>
    <row r="238" s="28" customFormat="1" ht="19.5" customHeight="1" x14ac:dyDescent="0.25"/>
    <row r="239" s="28" customFormat="1" ht="19.5" customHeight="1" x14ac:dyDescent="0.25"/>
    <row r="240" s="28" customFormat="1" ht="19.5" customHeight="1" x14ac:dyDescent="0.25"/>
    <row r="241" s="28" customFormat="1" ht="19.5" customHeight="1" x14ac:dyDescent="0.25"/>
    <row r="242" s="28" customFormat="1" ht="19.5" customHeight="1" x14ac:dyDescent="0.25"/>
    <row r="243" s="28" customFormat="1" ht="19.5" customHeight="1" x14ac:dyDescent="0.25"/>
    <row r="244" s="28" customFormat="1" ht="19.5" customHeight="1" x14ac:dyDescent="0.25"/>
    <row r="245" s="28" customFormat="1" ht="19.5" customHeight="1" x14ac:dyDescent="0.25"/>
    <row r="246" s="28" customFormat="1" ht="19.5" customHeight="1" x14ac:dyDescent="0.25"/>
    <row r="247" s="28" customFormat="1" ht="19.5" customHeight="1" x14ac:dyDescent="0.25"/>
    <row r="248" s="28" customFormat="1" ht="19.5" customHeight="1" x14ac:dyDescent="0.25"/>
    <row r="249" s="28" customFormat="1" ht="19.5" customHeight="1" x14ac:dyDescent="0.25"/>
    <row r="250" s="28" customFormat="1" ht="19.5" customHeight="1" x14ac:dyDescent="0.25"/>
    <row r="251" s="28" customFormat="1" ht="19.5" customHeight="1" x14ac:dyDescent="0.25"/>
    <row r="252" s="28" customFormat="1" ht="19.5" customHeight="1" x14ac:dyDescent="0.25"/>
    <row r="253" s="28" customFormat="1" ht="19.5" customHeight="1" x14ac:dyDescent="0.25"/>
    <row r="254" s="28" customFormat="1" ht="19.5" customHeight="1" x14ac:dyDescent="0.25"/>
    <row r="255" s="28" customFormat="1" ht="19.5" customHeight="1" x14ac:dyDescent="0.25"/>
    <row r="256" s="28" customFormat="1" ht="19.5" customHeight="1" x14ac:dyDescent="0.25"/>
    <row r="257" s="28" customFormat="1" ht="19.5" customHeight="1" x14ac:dyDescent="0.25"/>
    <row r="258" s="28" customFormat="1" ht="19.5" customHeight="1" x14ac:dyDescent="0.25"/>
    <row r="259" s="28" customFormat="1" ht="19.5" customHeight="1" x14ac:dyDescent="0.25"/>
    <row r="260" s="28" customFormat="1" ht="19.5" customHeight="1" x14ac:dyDescent="0.25"/>
    <row r="261" s="28" customFormat="1" ht="19.5" customHeight="1" x14ac:dyDescent="0.25"/>
    <row r="262" s="28" customFormat="1" ht="19.5" customHeight="1" x14ac:dyDescent="0.25"/>
    <row r="263" s="28" customFormat="1" ht="19.5" customHeight="1" x14ac:dyDescent="0.25"/>
    <row r="264" s="28" customFormat="1" ht="19.5" customHeight="1" x14ac:dyDescent="0.25"/>
    <row r="265" s="28" customFormat="1" ht="19.5" customHeight="1" x14ac:dyDescent="0.25"/>
    <row r="266" s="28" customFormat="1" ht="19.5" customHeight="1" x14ac:dyDescent="0.25"/>
    <row r="267" s="28" customFormat="1" ht="19.5" customHeight="1" x14ac:dyDescent="0.25"/>
    <row r="268" s="28" customFormat="1" ht="19.5" customHeight="1" x14ac:dyDescent="0.25"/>
    <row r="269" s="28" customFormat="1" ht="19.5" customHeight="1" x14ac:dyDescent="0.25"/>
    <row r="270" s="28" customFormat="1" ht="19.5" customHeight="1" x14ac:dyDescent="0.25"/>
    <row r="271" s="28" customFormat="1" ht="19.5" customHeight="1" x14ac:dyDescent="0.25"/>
    <row r="272" s="28" customFormat="1" ht="19.5" customHeight="1" x14ac:dyDescent="0.25"/>
    <row r="273" s="28" customFormat="1" ht="19.5" customHeight="1" x14ac:dyDescent="0.25"/>
    <row r="274" s="28" customFormat="1" ht="19.5" customHeight="1" x14ac:dyDescent="0.25"/>
    <row r="275" s="28" customFormat="1" ht="19.5" customHeight="1" x14ac:dyDescent="0.25"/>
    <row r="276" s="28" customFormat="1" ht="19.5" customHeight="1" x14ac:dyDescent="0.25"/>
    <row r="277" s="28" customFormat="1" ht="19.5" customHeight="1" x14ac:dyDescent="0.25"/>
    <row r="278" s="28" customFormat="1" ht="19.5" customHeight="1" x14ac:dyDescent="0.25"/>
    <row r="279" s="28" customFormat="1" ht="19.5" customHeight="1" x14ac:dyDescent="0.25"/>
    <row r="280" s="28" customFormat="1" ht="19.5" customHeight="1" x14ac:dyDescent="0.25"/>
    <row r="281" s="28" customFormat="1" ht="19.5" customHeight="1" x14ac:dyDescent="0.25"/>
    <row r="282" s="28" customFormat="1" ht="19.5" customHeight="1" x14ac:dyDescent="0.25"/>
    <row r="283" s="28" customFormat="1" ht="19.5" customHeight="1" x14ac:dyDescent="0.25"/>
    <row r="284" s="28" customFormat="1" ht="19.5" customHeight="1" x14ac:dyDescent="0.25"/>
    <row r="285" s="28" customFormat="1" ht="19.5" customHeight="1" x14ac:dyDescent="0.25"/>
    <row r="286" s="28" customFormat="1" ht="19.5" customHeight="1" x14ac:dyDescent="0.25"/>
    <row r="287" s="28" customFormat="1" ht="19.5" customHeight="1" x14ac:dyDescent="0.25"/>
    <row r="288" s="28" customFormat="1" ht="19.5" customHeight="1" x14ac:dyDescent="0.25"/>
    <row r="289" s="28" customFormat="1" ht="19.5" customHeight="1" x14ac:dyDescent="0.25"/>
  </sheetData>
  <autoFilter ref="A12:V106">
    <filterColumn colId="0" showButton="0"/>
    <filterColumn colId="1" showButton="0"/>
    <filterColumn colId="2" showButton="0"/>
  </autoFilter>
  <mergeCells count="143">
    <mergeCell ref="A79:D79"/>
    <mergeCell ref="B115:C115"/>
    <mergeCell ref="A116:N116"/>
    <mergeCell ref="A117:N117"/>
    <mergeCell ref="A118:N118"/>
    <mergeCell ref="A119:N119"/>
    <mergeCell ref="A120:N120"/>
    <mergeCell ref="C111:D111"/>
    <mergeCell ref="F111:G111"/>
    <mergeCell ref="H111:I111"/>
    <mergeCell ref="K111:L111"/>
    <mergeCell ref="B112:C112"/>
    <mergeCell ref="C114:D114"/>
    <mergeCell ref="F114:G114"/>
    <mergeCell ref="H114:I114"/>
    <mergeCell ref="K114:L114"/>
    <mergeCell ref="A105:D105"/>
    <mergeCell ref="A106:D106"/>
    <mergeCell ref="C109:D109"/>
    <mergeCell ref="F109:G109"/>
    <mergeCell ref="H109:I109"/>
    <mergeCell ref="K109:L109"/>
    <mergeCell ref="A99:D99"/>
    <mergeCell ref="A100:D100"/>
    <mergeCell ref="A121:N121"/>
    <mergeCell ref="A128:N128"/>
    <mergeCell ref="A129:N129"/>
    <mergeCell ref="A122:N122"/>
    <mergeCell ref="A123:N123"/>
    <mergeCell ref="A124:N124"/>
    <mergeCell ref="A126:N126"/>
    <mergeCell ref="A127:N127"/>
    <mergeCell ref="A125:J125"/>
    <mergeCell ref="A101:D101"/>
    <mergeCell ref="A102:D102"/>
    <mergeCell ref="A103:D103"/>
    <mergeCell ref="A104:D104"/>
    <mergeCell ref="A80:D80"/>
    <mergeCell ref="A81:D81"/>
    <mergeCell ref="A82:D82"/>
    <mergeCell ref="A98:D98"/>
    <mergeCell ref="A90:D90"/>
    <mergeCell ref="A91:D91"/>
    <mergeCell ref="A92:D92"/>
    <mergeCell ref="A93:D93"/>
    <mergeCell ref="A87:D87"/>
    <mergeCell ref="A88:D88"/>
    <mergeCell ref="A95:D95"/>
    <mergeCell ref="A96:D96"/>
    <mergeCell ref="A83:D83"/>
    <mergeCell ref="A84:D84"/>
    <mergeCell ref="A85:D85"/>
    <mergeCell ref="A86:D86"/>
    <mergeCell ref="A89:D89"/>
    <mergeCell ref="A94:D94"/>
    <mergeCell ref="A97:D97"/>
    <mergeCell ref="A71:D71"/>
    <mergeCell ref="A75:D75"/>
    <mergeCell ref="A76:D76"/>
    <mergeCell ref="A77:D77"/>
    <mergeCell ref="A78:D78"/>
    <mergeCell ref="A63:D63"/>
    <mergeCell ref="A64:D64"/>
    <mergeCell ref="A67:D67"/>
    <mergeCell ref="A68:D68"/>
    <mergeCell ref="A69:D69"/>
    <mergeCell ref="A70:D70"/>
    <mergeCell ref="A65:D65"/>
    <mergeCell ref="A66:D66"/>
    <mergeCell ref="A72:D72"/>
    <mergeCell ref="A73:D73"/>
    <mergeCell ref="A74:D74"/>
    <mergeCell ref="A57:D57"/>
    <mergeCell ref="A58:D58"/>
    <mergeCell ref="A59:D59"/>
    <mergeCell ref="A60:D60"/>
    <mergeCell ref="A61:D61"/>
    <mergeCell ref="A62:D62"/>
    <mergeCell ref="A51:D51"/>
    <mergeCell ref="A52:D52"/>
    <mergeCell ref="A53:D53"/>
    <mergeCell ref="A54:D54"/>
    <mergeCell ref="A55:D55"/>
    <mergeCell ref="A56:D56"/>
    <mergeCell ref="A43:D43"/>
    <mergeCell ref="A44:D44"/>
    <mergeCell ref="A45:D45"/>
    <mergeCell ref="A49:D49"/>
    <mergeCell ref="A48:D48"/>
    <mergeCell ref="A46:D46"/>
    <mergeCell ref="A47:D47"/>
    <mergeCell ref="A36:D36"/>
    <mergeCell ref="A37:D37"/>
    <mergeCell ref="A38:D38"/>
    <mergeCell ref="A39:D39"/>
    <mergeCell ref="A40:D40"/>
    <mergeCell ref="A41:D41"/>
    <mergeCell ref="A34:D34"/>
    <mergeCell ref="A35:D35"/>
    <mergeCell ref="A22:D22"/>
    <mergeCell ref="A23:D23"/>
    <mergeCell ref="A24:D24"/>
    <mergeCell ref="A25:D25"/>
    <mergeCell ref="A26:D26"/>
    <mergeCell ref="A27:D27"/>
    <mergeCell ref="A42:D42"/>
    <mergeCell ref="A28:D28"/>
    <mergeCell ref="A29:D29"/>
    <mergeCell ref="A15:D15"/>
    <mergeCell ref="A50:D50"/>
    <mergeCell ref="T7:V7"/>
    <mergeCell ref="K8:M8"/>
    <mergeCell ref="N8:P8"/>
    <mergeCell ref="Q8:S8"/>
    <mergeCell ref="T8:V8"/>
    <mergeCell ref="K9:M9"/>
    <mergeCell ref="N9:P9"/>
    <mergeCell ref="Q9:S9"/>
    <mergeCell ref="A12:D12"/>
    <mergeCell ref="A16:D16"/>
    <mergeCell ref="A17:D17"/>
    <mergeCell ref="A18:D18"/>
    <mergeCell ref="A19:D19"/>
    <mergeCell ref="A20:D20"/>
    <mergeCell ref="A21:D21"/>
    <mergeCell ref="A13:D13"/>
    <mergeCell ref="A14:D14"/>
    <mergeCell ref="H7:J9"/>
    <mergeCell ref="A30:D30"/>
    <mergeCell ref="A31:D31"/>
    <mergeCell ref="A32:D32"/>
    <mergeCell ref="A33:D33"/>
    <mergeCell ref="A3:P3"/>
    <mergeCell ref="A5:P5"/>
    <mergeCell ref="A6:D11"/>
    <mergeCell ref="E6:E11"/>
    <mergeCell ref="F6:F11"/>
    <mergeCell ref="G6:G11"/>
    <mergeCell ref="H6:V6"/>
    <mergeCell ref="T9:V9"/>
    <mergeCell ref="Q7:S7"/>
    <mergeCell ref="K7:M7"/>
    <mergeCell ref="N7:P7"/>
  </mergeCells>
  <printOptions horizontalCentered="1"/>
  <pageMargins left="0.47244094488188981" right="0.27559055118110237" top="0.39370078740157483" bottom="0.23622047244094491" header="0.43307086614173229" footer="0.51181102362204722"/>
  <pageSetup paperSize="9" scale="51" fitToHeight="0" orientation="landscape" r:id="rId1"/>
  <headerFooter alignWithMargins="0"/>
  <rowBreaks count="2" manualBreakCount="2">
    <brk id="50" max="21" man="1"/>
    <brk id="83"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R291"/>
  <sheetViews>
    <sheetView topLeftCell="A4" zoomScale="130" zoomScaleNormal="130" zoomScaleSheetLayoutView="120" workbookViewId="0">
      <pane ySplit="9" topLeftCell="A130" activePane="bottomLeft" state="frozen"/>
      <selection activeCell="A4" sqref="A4"/>
      <selection pane="bottomLeft" activeCell="K52" sqref="K52"/>
    </sheetView>
  </sheetViews>
  <sheetFormatPr defaultRowHeight="19.5" customHeight="1" x14ac:dyDescent="0.25"/>
  <cols>
    <col min="1" max="1" width="9.140625" style="7"/>
    <col min="2" max="2" width="6.42578125" style="7" customWidth="1"/>
    <col min="3" max="3" width="8.85546875" style="7" customWidth="1"/>
    <col min="4" max="4" width="10.5703125" style="7" customWidth="1"/>
    <col min="5" max="5" width="7.140625" style="7" customWidth="1"/>
    <col min="6" max="6" width="13.42578125" style="7" customWidth="1"/>
    <col min="7" max="7" width="9" style="7" customWidth="1"/>
    <col min="8" max="9" width="11.5703125" style="7" customWidth="1"/>
    <col min="10" max="10" width="10.5703125" style="7" customWidth="1"/>
    <col min="11" max="11" width="12.28515625" style="7" customWidth="1"/>
    <col min="12" max="12" width="11.28515625" style="7" customWidth="1"/>
    <col min="13" max="13" width="10.5703125" style="7" customWidth="1"/>
    <col min="14" max="14" width="10.140625" style="7" customWidth="1"/>
    <col min="15" max="15" width="10.85546875" style="7" customWidth="1"/>
    <col min="16" max="16" width="9.85546875" style="7" customWidth="1"/>
    <col min="17" max="17" width="10.140625" style="7" customWidth="1"/>
    <col min="18" max="18" width="7.7109375" style="7" customWidth="1"/>
    <col min="19" max="16384" width="9.140625" style="7"/>
  </cols>
  <sheetData>
    <row r="1" spans="1:75" ht="19.5" customHeight="1" x14ac:dyDescent="0.3">
      <c r="A1" s="39" t="s">
        <v>256</v>
      </c>
    </row>
    <row r="3" spans="1:75" ht="37.5" customHeight="1" x14ac:dyDescent="0.3">
      <c r="A3" s="531" t="s">
        <v>380</v>
      </c>
      <c r="B3" s="531"/>
      <c r="C3" s="531"/>
      <c r="D3" s="531"/>
      <c r="E3" s="531"/>
      <c r="F3" s="531"/>
      <c r="G3" s="531"/>
      <c r="H3" s="531"/>
      <c r="I3" s="531"/>
      <c r="J3" s="531"/>
      <c r="K3" s="531"/>
      <c r="L3" s="531"/>
      <c r="M3" s="531"/>
      <c r="N3" s="531"/>
      <c r="O3" s="531"/>
      <c r="P3" s="531"/>
    </row>
    <row r="4" spans="1:75" ht="24" customHeight="1" x14ac:dyDescent="0.3">
      <c r="A4" s="73"/>
      <c r="B4" s="73"/>
      <c r="C4" s="73"/>
      <c r="D4" s="73"/>
      <c r="E4" s="73"/>
      <c r="F4" s="73"/>
      <c r="G4" s="73"/>
      <c r="H4" s="73"/>
      <c r="I4" s="73"/>
      <c r="J4" s="73"/>
      <c r="K4" s="73"/>
      <c r="L4" s="73"/>
      <c r="M4" s="73"/>
      <c r="N4" s="73"/>
      <c r="O4" s="73"/>
      <c r="P4" s="73"/>
    </row>
    <row r="5" spans="1:75" ht="25.5" customHeight="1" thickBot="1" x14ac:dyDescent="0.3">
      <c r="A5" s="532" t="s">
        <v>321</v>
      </c>
      <c r="B5" s="532"/>
      <c r="C5" s="532"/>
      <c r="D5" s="532"/>
      <c r="E5" s="532"/>
      <c r="F5" s="532"/>
      <c r="G5" s="532"/>
      <c r="H5" s="563"/>
      <c r="I5" s="563"/>
      <c r="J5" s="58"/>
    </row>
    <row r="6" spans="1:75" ht="19.5" customHeight="1" thickBot="1" x14ac:dyDescent="0.3">
      <c r="A6" s="295" t="s">
        <v>2</v>
      </c>
      <c r="B6" s="296"/>
      <c r="C6" s="296"/>
      <c r="D6" s="297"/>
      <c r="E6" s="268" t="s">
        <v>27</v>
      </c>
      <c r="F6" s="268" t="s">
        <v>104</v>
      </c>
      <c r="G6" s="268" t="s">
        <v>103</v>
      </c>
      <c r="H6" s="277" t="s">
        <v>243</v>
      </c>
      <c r="I6" s="278"/>
      <c r="J6" s="278"/>
      <c r="K6" s="278"/>
      <c r="L6" s="278"/>
      <c r="M6" s="278"/>
      <c r="N6" s="278"/>
      <c r="O6" s="278"/>
      <c r="P6" s="278"/>
      <c r="Q6" s="278"/>
      <c r="R6" s="278"/>
      <c r="S6" s="278"/>
      <c r="T6" s="278"/>
      <c r="U6" s="278"/>
      <c r="V6" s="279"/>
    </row>
    <row r="7" spans="1:75" ht="19.5" customHeight="1" thickBot="1" x14ac:dyDescent="0.3">
      <c r="A7" s="298"/>
      <c r="B7" s="299"/>
      <c r="C7" s="299"/>
      <c r="D7" s="300"/>
      <c r="E7" s="269"/>
      <c r="F7" s="269"/>
      <c r="G7" s="269"/>
      <c r="H7" s="484" t="s">
        <v>241</v>
      </c>
      <c r="I7" s="485"/>
      <c r="J7" s="486"/>
      <c r="K7" s="277" t="s">
        <v>247</v>
      </c>
      <c r="L7" s="278"/>
      <c r="M7" s="279"/>
      <c r="N7" s="277" t="s">
        <v>247</v>
      </c>
      <c r="O7" s="278"/>
      <c r="P7" s="279"/>
      <c r="Q7" s="277" t="s">
        <v>247</v>
      </c>
      <c r="R7" s="278"/>
      <c r="S7" s="279"/>
      <c r="T7" s="277" t="s">
        <v>247</v>
      </c>
      <c r="U7" s="278"/>
      <c r="V7" s="279"/>
    </row>
    <row r="8" spans="1:75" ht="19.5" customHeight="1" thickBot="1" x14ac:dyDescent="0.3">
      <c r="A8" s="298"/>
      <c r="B8" s="299"/>
      <c r="C8" s="299"/>
      <c r="D8" s="300"/>
      <c r="E8" s="269"/>
      <c r="F8" s="269"/>
      <c r="G8" s="269"/>
      <c r="H8" s="487"/>
      <c r="I8" s="488"/>
      <c r="J8" s="489"/>
      <c r="K8" s="277" t="s">
        <v>286</v>
      </c>
      <c r="L8" s="278"/>
      <c r="M8" s="279"/>
      <c r="N8" s="277" t="s">
        <v>288</v>
      </c>
      <c r="O8" s="278"/>
      <c r="P8" s="279"/>
      <c r="Q8" s="277" t="s">
        <v>245</v>
      </c>
      <c r="R8" s="278"/>
      <c r="S8" s="279"/>
      <c r="T8" s="277" t="s">
        <v>245</v>
      </c>
      <c r="U8" s="278"/>
      <c r="V8" s="279"/>
    </row>
    <row r="9" spans="1:75" ht="78.75" customHeight="1" thickBot="1" x14ac:dyDescent="0.3">
      <c r="A9" s="298"/>
      <c r="B9" s="299"/>
      <c r="C9" s="299"/>
      <c r="D9" s="300"/>
      <c r="E9" s="269"/>
      <c r="F9" s="269"/>
      <c r="G9" s="269"/>
      <c r="H9" s="490"/>
      <c r="I9" s="491"/>
      <c r="J9" s="492"/>
      <c r="K9" s="499" t="s">
        <v>287</v>
      </c>
      <c r="L9" s="500"/>
      <c r="M9" s="501"/>
      <c r="N9" s="493" t="s">
        <v>289</v>
      </c>
      <c r="O9" s="494"/>
      <c r="P9" s="495"/>
      <c r="Q9" s="277" t="s">
        <v>246</v>
      </c>
      <c r="R9" s="278"/>
      <c r="S9" s="279"/>
      <c r="T9" s="277" t="s">
        <v>246</v>
      </c>
      <c r="U9" s="278"/>
      <c r="V9" s="279"/>
    </row>
    <row r="10" spans="1:75" ht="18.75" customHeight="1" x14ac:dyDescent="0.25">
      <c r="A10" s="298"/>
      <c r="B10" s="299"/>
      <c r="C10" s="299"/>
      <c r="D10" s="300"/>
      <c r="E10" s="269"/>
      <c r="F10" s="269"/>
      <c r="G10" s="269"/>
      <c r="H10" s="201" t="s">
        <v>274</v>
      </c>
      <c r="I10" s="201" t="s">
        <v>275</v>
      </c>
      <c r="J10" s="201" t="s">
        <v>276</v>
      </c>
      <c r="K10" s="201" t="s">
        <v>274</v>
      </c>
      <c r="L10" s="201" t="s">
        <v>275</v>
      </c>
      <c r="M10" s="201" t="s">
        <v>276</v>
      </c>
      <c r="N10" s="201" t="s">
        <v>274</v>
      </c>
      <c r="O10" s="201" t="s">
        <v>283</v>
      </c>
      <c r="P10" s="201" t="s">
        <v>290</v>
      </c>
      <c r="Q10" s="201" t="s">
        <v>274</v>
      </c>
      <c r="R10" s="201" t="s">
        <v>275</v>
      </c>
      <c r="S10" s="201" t="s">
        <v>276</v>
      </c>
      <c r="T10" s="201" t="s">
        <v>242</v>
      </c>
      <c r="U10" s="201" t="s">
        <v>242</v>
      </c>
      <c r="V10" s="201" t="s">
        <v>242</v>
      </c>
    </row>
    <row r="11" spans="1:75" ht="44.25" customHeight="1" thickBot="1" x14ac:dyDescent="0.3">
      <c r="A11" s="301"/>
      <c r="B11" s="302"/>
      <c r="C11" s="302"/>
      <c r="D11" s="303"/>
      <c r="E11" s="270"/>
      <c r="F11" s="270"/>
      <c r="G11" s="270"/>
      <c r="H11" s="202" t="s">
        <v>39</v>
      </c>
      <c r="I11" s="202" t="s">
        <v>101</v>
      </c>
      <c r="J11" s="202" t="s">
        <v>102</v>
      </c>
      <c r="K11" s="202" t="s">
        <v>39</v>
      </c>
      <c r="L11" s="202" t="s">
        <v>101</v>
      </c>
      <c r="M11" s="202" t="s">
        <v>102</v>
      </c>
      <c r="N11" s="202" t="s">
        <v>39</v>
      </c>
      <c r="O11" s="202" t="s">
        <v>101</v>
      </c>
      <c r="P11" s="202" t="s">
        <v>102</v>
      </c>
      <c r="Q11" s="202" t="s">
        <v>39</v>
      </c>
      <c r="R11" s="202" t="s">
        <v>101</v>
      </c>
      <c r="S11" s="202" t="s">
        <v>102</v>
      </c>
      <c r="T11" s="202" t="s">
        <v>39</v>
      </c>
      <c r="U11" s="202" t="s">
        <v>101</v>
      </c>
      <c r="V11" s="202" t="s">
        <v>102</v>
      </c>
    </row>
    <row r="12" spans="1:75" ht="13.5" customHeight="1" thickBot="1" x14ac:dyDescent="0.3">
      <c r="A12" s="257">
        <v>1</v>
      </c>
      <c r="B12" s="258"/>
      <c r="C12" s="258"/>
      <c r="D12" s="259"/>
      <c r="E12" s="82">
        <v>2</v>
      </c>
      <c r="F12" s="82">
        <v>3</v>
      </c>
      <c r="G12" s="83">
        <v>4</v>
      </c>
      <c r="H12" s="83">
        <v>5</v>
      </c>
      <c r="I12" s="83">
        <v>6</v>
      </c>
      <c r="J12" s="83">
        <v>7</v>
      </c>
      <c r="K12" s="83">
        <v>8</v>
      </c>
      <c r="L12" s="83">
        <v>9</v>
      </c>
      <c r="M12" s="83">
        <v>10</v>
      </c>
      <c r="N12" s="83">
        <v>11</v>
      </c>
      <c r="O12" s="83">
        <v>12</v>
      </c>
      <c r="P12" s="83">
        <v>13</v>
      </c>
      <c r="Q12" s="83">
        <v>14</v>
      </c>
      <c r="R12" s="83">
        <v>15</v>
      </c>
      <c r="S12" s="83">
        <v>16</v>
      </c>
      <c r="T12" s="83">
        <v>17</v>
      </c>
      <c r="U12" s="83">
        <v>18</v>
      </c>
      <c r="V12" s="83">
        <v>19</v>
      </c>
    </row>
    <row r="13" spans="1:75" s="28" customFormat="1" ht="34.5" customHeight="1" x14ac:dyDescent="0.25">
      <c r="A13" s="472" t="s">
        <v>244</v>
      </c>
      <c r="B13" s="472"/>
      <c r="C13" s="472"/>
      <c r="D13" s="472"/>
      <c r="E13" s="86" t="s">
        <v>28</v>
      </c>
      <c r="F13" s="223" t="s">
        <v>9</v>
      </c>
      <c r="G13" s="223" t="s">
        <v>9</v>
      </c>
      <c r="H13" s="122">
        <f>'Табл. 4.3 платные (0902)'!H13</f>
        <v>1177179.47</v>
      </c>
      <c r="I13" s="122">
        <f>'Табл. 4.3 платные (0902)'!I13</f>
        <v>0</v>
      </c>
      <c r="J13" s="122">
        <f>'Табл. 4.3 платные (0902)'!J13</f>
        <v>0</v>
      </c>
      <c r="K13" s="122">
        <f>'Табл. 4.3 платные (0902)'!K13</f>
        <v>759431.78</v>
      </c>
      <c r="L13" s="122">
        <f>'Табл. 4.3 платные (0902)'!L13</f>
        <v>0</v>
      </c>
      <c r="M13" s="122">
        <f>'Табл. 4.3 платные (0902)'!M13</f>
        <v>0</v>
      </c>
      <c r="N13" s="122">
        <f>'Табл. 4.3 платные (0902)'!N13</f>
        <v>417747.69</v>
      </c>
      <c r="O13" s="122">
        <f>'Табл. 4.3 платные (0902)'!O13</f>
        <v>0</v>
      </c>
      <c r="P13" s="122">
        <f>'Табл. 4.3 платные (0902)'!P13</f>
        <v>0</v>
      </c>
      <c r="Q13" s="122">
        <f>'Табл. 4.3 платные (0902)'!Q13</f>
        <v>0</v>
      </c>
      <c r="R13" s="122">
        <f>'Табл. 4.3 платные (0902)'!R13</f>
        <v>0</v>
      </c>
      <c r="S13" s="122">
        <f>'Табл. 4.3 платные (0902)'!S13</f>
        <v>0</v>
      </c>
      <c r="T13" s="122">
        <f>'Табл. 4.3 платные (0902)'!T13</f>
        <v>0</v>
      </c>
      <c r="U13" s="122">
        <f>'Табл. 4.3 платные (0902)'!U13</f>
        <v>0</v>
      </c>
      <c r="V13" s="122">
        <f>'Табл. 4.3 платные (0902)'!V13</f>
        <v>0</v>
      </c>
    </row>
    <row r="14" spans="1:75" s="28" customFormat="1" ht="30" customHeight="1" x14ac:dyDescent="0.25">
      <c r="A14" s="472" t="s">
        <v>254</v>
      </c>
      <c r="B14" s="472"/>
      <c r="C14" s="472"/>
      <c r="D14" s="472"/>
      <c r="E14" s="86" t="s">
        <v>160</v>
      </c>
      <c r="F14" s="224" t="s">
        <v>9</v>
      </c>
      <c r="G14" s="224" t="s">
        <v>9</v>
      </c>
      <c r="H14" s="122">
        <f>'Табл. 4.3 платные (0902)'!H14</f>
        <v>0</v>
      </c>
      <c r="I14" s="122">
        <f>'Табл. 4.3 платные (0902)'!I14</f>
        <v>0</v>
      </c>
      <c r="J14" s="122">
        <f>'Табл. 4.3 платные (0902)'!J14</f>
        <v>0</v>
      </c>
      <c r="K14" s="122">
        <f>'Табл. 4.3 платные (0902)'!K14</f>
        <v>0</v>
      </c>
      <c r="L14" s="122">
        <f>'Табл. 4.3 платные (0902)'!L14</f>
        <v>0</v>
      </c>
      <c r="M14" s="122">
        <f>'Табл. 4.3 платные (0902)'!M14</f>
        <v>0</v>
      </c>
      <c r="N14" s="122">
        <f>'Табл. 4.3 платные (0902)'!N14</f>
        <v>0</v>
      </c>
      <c r="O14" s="122">
        <f>'Табл. 4.3 платные (0902)'!O14</f>
        <v>0</v>
      </c>
      <c r="P14" s="122">
        <f>'Табл. 4.3 платные (0902)'!P14</f>
        <v>0</v>
      </c>
      <c r="Q14" s="122">
        <f>'Табл. 4.3 платные (0902)'!Q14</f>
        <v>0</v>
      </c>
      <c r="R14" s="122">
        <f>'Табл. 4.3 платные (0902)'!R14</f>
        <v>0</v>
      </c>
      <c r="S14" s="122">
        <f>'Табл. 4.3 платные (0902)'!S14</f>
        <v>0</v>
      </c>
      <c r="T14" s="122">
        <f>'Табл. 4.3 платные (0902)'!T14</f>
        <v>0</v>
      </c>
      <c r="U14" s="122">
        <f>'Табл. 4.3 платные (0902)'!U14</f>
        <v>0</v>
      </c>
      <c r="V14" s="122">
        <f>'Табл. 4.3 платные (0902)'!V14</f>
        <v>0</v>
      </c>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s="28" customFormat="1" ht="15.75" customHeight="1" x14ac:dyDescent="0.25">
      <c r="A15" s="472" t="s">
        <v>105</v>
      </c>
      <c r="B15" s="472"/>
      <c r="C15" s="472"/>
      <c r="D15" s="472"/>
      <c r="E15" s="86">
        <v>1000</v>
      </c>
      <c r="F15" s="217"/>
      <c r="G15" s="217"/>
      <c r="H15" s="123">
        <f>'Табл. 4.3 платные (0902)'!H15</f>
        <v>7622000</v>
      </c>
      <c r="I15" s="123">
        <f>'Табл. 4.3 платные (0902)'!I15</f>
        <v>9220000</v>
      </c>
      <c r="J15" s="123">
        <f>'Табл. 4.3 платные (0902)'!J15</f>
        <v>9220000</v>
      </c>
      <c r="K15" s="123">
        <f>'Табл. 4.3 платные (0902)'!K15</f>
        <v>6702000</v>
      </c>
      <c r="L15" s="123">
        <f>'Табл. 4.3 платные (0902)'!L15</f>
        <v>8600000</v>
      </c>
      <c r="M15" s="123">
        <f>'Табл. 4.3 платные (0902)'!M15</f>
        <v>8600000</v>
      </c>
      <c r="N15" s="123">
        <f>'Табл. 4.3 платные (0902)'!N15</f>
        <v>620000</v>
      </c>
      <c r="O15" s="123">
        <f>'Табл. 4.3 платные (0902)'!O15</f>
        <v>620000</v>
      </c>
      <c r="P15" s="123">
        <f>'Табл. 4.3 платные (0902)'!P15</f>
        <v>620000</v>
      </c>
      <c r="Q15" s="123">
        <f>'Табл. 4.3 платные (0902)'!Q15</f>
        <v>300000</v>
      </c>
      <c r="R15" s="123">
        <f>'Табл. 4.3 платные (0902)'!R15</f>
        <v>0</v>
      </c>
      <c r="S15" s="123">
        <f>'Табл. 4.3 платные (0902)'!S15</f>
        <v>0</v>
      </c>
      <c r="T15" s="123">
        <f>'Табл. 4.3 платные (0902)'!T15</f>
        <v>0</v>
      </c>
      <c r="U15" s="123">
        <f>'Табл. 4.3 платные (0902)'!U15</f>
        <v>0</v>
      </c>
      <c r="V15" s="123">
        <f>'Табл. 4.3 платные (0902)'!V15</f>
        <v>0</v>
      </c>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row>
    <row r="16" spans="1:75" s="28" customFormat="1" ht="14.25" customHeight="1" x14ac:dyDescent="0.25">
      <c r="A16" s="319" t="s">
        <v>106</v>
      </c>
      <c r="B16" s="319"/>
      <c r="C16" s="319"/>
      <c r="D16" s="319"/>
      <c r="E16" s="81">
        <v>1100</v>
      </c>
      <c r="F16" s="200">
        <v>120</v>
      </c>
      <c r="G16" s="200"/>
      <c r="H16" s="229">
        <f>'Табл. 4.3 платные (0902)'!H16</f>
        <v>200000</v>
      </c>
      <c r="I16" s="121">
        <f>'Табл. 4.3 платные (0902)'!I16</f>
        <v>200000</v>
      </c>
      <c r="J16" s="121">
        <f>'Табл. 4.3 платные (0902)'!J16</f>
        <v>200000</v>
      </c>
      <c r="K16" s="121">
        <f>'Табл. 4.3 платные (0902)'!K16</f>
        <v>200000</v>
      </c>
      <c r="L16" s="121">
        <f>'Табл. 4.3 платные (0902)'!L16</f>
        <v>200000</v>
      </c>
      <c r="M16" s="121">
        <f>'Табл. 4.3 платные (0902)'!M16</f>
        <v>200000</v>
      </c>
      <c r="N16" s="121">
        <f>'Табл. 4.3 платные (0902)'!N16</f>
        <v>0</v>
      </c>
      <c r="O16" s="121">
        <f>'Табл. 4.3 платные (0902)'!O16</f>
        <v>0</v>
      </c>
      <c r="P16" s="121">
        <f>'Табл. 4.3 платные (0902)'!P16</f>
        <v>0</v>
      </c>
      <c r="Q16" s="121">
        <f>'Табл. 4.3 платные (0902)'!Q16</f>
        <v>0</v>
      </c>
      <c r="R16" s="121">
        <f>'Табл. 4.3 платные (0902)'!R16</f>
        <v>0</v>
      </c>
      <c r="S16" s="121">
        <f>'Табл. 4.3 платные (0902)'!S16</f>
        <v>0</v>
      </c>
      <c r="T16" s="121">
        <f>'Табл. 4.3 платные (0902)'!T16</f>
        <v>0</v>
      </c>
      <c r="U16" s="121">
        <f>'Табл. 4.3 платные (0902)'!U16</f>
        <v>0</v>
      </c>
      <c r="V16" s="121">
        <f>'Табл. 4.3 платные (0902)'!V16</f>
        <v>0</v>
      </c>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1:75" s="28" customFormat="1" ht="15.75" customHeight="1" x14ac:dyDescent="0.25">
      <c r="A17" s="319" t="s">
        <v>24</v>
      </c>
      <c r="B17" s="319"/>
      <c r="C17" s="319"/>
      <c r="D17" s="319"/>
      <c r="E17" s="76"/>
      <c r="F17" s="227"/>
      <c r="G17" s="200"/>
      <c r="H17" s="229">
        <f>'Табл. 4.3 платные (0902)'!H17</f>
        <v>0</v>
      </c>
      <c r="I17" s="121">
        <f>'Табл. 4.3 платные (0902)'!I17</f>
        <v>0</v>
      </c>
      <c r="J17" s="121">
        <f>'Табл. 4.3 платные (0902)'!J17</f>
        <v>0</v>
      </c>
      <c r="K17" s="121">
        <f>'Табл. 4.3 платные (0902)'!K17</f>
        <v>0</v>
      </c>
      <c r="L17" s="121">
        <f>'Табл. 4.3 платные (0902)'!L17</f>
        <v>0</v>
      </c>
      <c r="M17" s="121">
        <f>'Табл. 4.3 платные (0902)'!M17</f>
        <v>0</v>
      </c>
      <c r="N17" s="121">
        <f>'Табл. 4.3 платные (0902)'!N17</f>
        <v>0</v>
      </c>
      <c r="O17" s="121">
        <f>'Табл. 4.3 платные (0902)'!O17</f>
        <v>0</v>
      </c>
      <c r="P17" s="121">
        <f>'Табл. 4.3 платные (0902)'!P17</f>
        <v>0</v>
      </c>
      <c r="Q17" s="121">
        <f>'Табл. 4.3 платные (0902)'!Q17</f>
        <v>0</v>
      </c>
      <c r="R17" s="121">
        <f>'Табл. 4.3 платные (0902)'!R17</f>
        <v>0</v>
      </c>
      <c r="S17" s="121">
        <f>'Табл. 4.3 платные (0902)'!S17</f>
        <v>0</v>
      </c>
      <c r="T17" s="121">
        <f>'Табл. 4.3 платные (0902)'!T17</f>
        <v>0</v>
      </c>
      <c r="U17" s="121">
        <f>'Табл. 4.3 платные (0902)'!U17</f>
        <v>0</v>
      </c>
      <c r="V17" s="121">
        <f>'Табл. 4.3 платные (0902)'!V17</f>
        <v>0</v>
      </c>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1:75" s="28" customFormat="1" ht="15" customHeight="1" x14ac:dyDescent="0.25">
      <c r="A18" s="319" t="s">
        <v>369</v>
      </c>
      <c r="B18" s="319"/>
      <c r="C18" s="319"/>
      <c r="D18" s="319"/>
      <c r="E18" s="81">
        <v>1110</v>
      </c>
      <c r="F18" s="200">
        <v>121</v>
      </c>
      <c r="G18" s="200"/>
      <c r="H18" s="229">
        <f>'Табл. 4.3 платные (0902)'!H18</f>
        <v>200000</v>
      </c>
      <c r="I18" s="121">
        <f>'Табл. 4.3 платные (0902)'!I18</f>
        <v>200000</v>
      </c>
      <c r="J18" s="121">
        <f>'Табл. 4.3 платные (0902)'!J18</f>
        <v>200000</v>
      </c>
      <c r="K18" s="121">
        <f>'Табл. 4.3 платные (0902)'!K18</f>
        <v>200000</v>
      </c>
      <c r="L18" s="121">
        <f>'Табл. 4.3 платные (0902)'!L18</f>
        <v>200000</v>
      </c>
      <c r="M18" s="121">
        <f>'Табл. 4.3 платные (0902)'!M18</f>
        <v>200000</v>
      </c>
      <c r="N18" s="121">
        <f>'Табл. 4.3 платные (0902)'!N18</f>
        <v>0</v>
      </c>
      <c r="O18" s="121">
        <f>'Табл. 4.3 платные (0902)'!O18</f>
        <v>0</v>
      </c>
      <c r="P18" s="121">
        <f>'Табл. 4.3 платные (0902)'!P18</f>
        <v>0</v>
      </c>
      <c r="Q18" s="121">
        <f>'Табл. 4.3 платные (0902)'!Q18</f>
        <v>0</v>
      </c>
      <c r="R18" s="121">
        <f>'Табл. 4.3 платные (0902)'!R18</f>
        <v>0</v>
      </c>
      <c r="S18" s="121">
        <f>'Табл. 4.3 платные (0902)'!S18</f>
        <v>0</v>
      </c>
      <c r="T18" s="121">
        <f>'Табл. 4.3 платные (0902)'!T18</f>
        <v>0</v>
      </c>
      <c r="U18" s="121">
        <f>'Табл. 4.3 платные (0902)'!U18</f>
        <v>0</v>
      </c>
      <c r="V18" s="121">
        <f>'Табл. 4.3 платные (0902)'!V18</f>
        <v>0</v>
      </c>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1:75" s="28" customFormat="1" ht="33" customHeight="1" x14ac:dyDescent="0.25">
      <c r="A19" s="319" t="s">
        <v>107</v>
      </c>
      <c r="B19" s="319"/>
      <c r="C19" s="319"/>
      <c r="D19" s="319"/>
      <c r="E19" s="81">
        <v>1200</v>
      </c>
      <c r="F19" s="200">
        <v>130</v>
      </c>
      <c r="G19" s="200"/>
      <c r="H19" s="229">
        <f>'Табл. 4.3 платные (0902)'!H19</f>
        <v>7120000</v>
      </c>
      <c r="I19" s="121">
        <f>'Табл. 4.3 платные (0902)'!I19</f>
        <v>9020000</v>
      </c>
      <c r="J19" s="121">
        <f>'Табл. 4.3 платные (0902)'!J19</f>
        <v>9020000</v>
      </c>
      <c r="K19" s="121">
        <f>'Табл. 4.3 платные (0902)'!K19</f>
        <v>6500000</v>
      </c>
      <c r="L19" s="121">
        <f>'Табл. 4.3 платные (0902)'!L19</f>
        <v>8400000</v>
      </c>
      <c r="M19" s="121">
        <f>'Табл. 4.3 платные (0902)'!M19</f>
        <v>8400000</v>
      </c>
      <c r="N19" s="121">
        <f>'Табл. 4.3 платные (0902)'!N19</f>
        <v>620000</v>
      </c>
      <c r="O19" s="121">
        <f>'Табл. 4.3 платные (0902)'!O19</f>
        <v>620000</v>
      </c>
      <c r="P19" s="121">
        <f>'Табл. 4.3 платные (0902)'!P19</f>
        <v>620000</v>
      </c>
      <c r="Q19" s="121">
        <f>'Табл. 4.3 платные (0902)'!Q19</f>
        <v>0</v>
      </c>
      <c r="R19" s="121">
        <f>'Табл. 4.3 платные (0902)'!R19</f>
        <v>0</v>
      </c>
      <c r="S19" s="121">
        <f>'Табл. 4.3 платные (0902)'!S19</f>
        <v>0</v>
      </c>
      <c r="T19" s="121">
        <f>'Табл. 4.3 платные (0902)'!T19</f>
        <v>0</v>
      </c>
      <c r="U19" s="121">
        <f>'Табл. 4.3 платные (0902)'!U19</f>
        <v>0</v>
      </c>
      <c r="V19" s="121">
        <f>'Табл. 4.3 платные (0902)'!V19</f>
        <v>0</v>
      </c>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row>
    <row r="20" spans="1:75" s="28" customFormat="1" ht="61.5" customHeight="1" x14ac:dyDescent="0.25">
      <c r="A20" s="319" t="s">
        <v>261</v>
      </c>
      <c r="B20" s="319"/>
      <c r="C20" s="319"/>
      <c r="D20" s="319"/>
      <c r="E20" s="81">
        <v>1210</v>
      </c>
      <c r="F20" s="200">
        <v>130</v>
      </c>
      <c r="G20" s="200"/>
      <c r="H20" s="229">
        <f>'Табл. 4.3 платные (0902)'!H20</f>
        <v>0</v>
      </c>
      <c r="I20" s="121">
        <f>'Табл. 4.3 платные (0902)'!I20</f>
        <v>0</v>
      </c>
      <c r="J20" s="121">
        <f>'Табл. 4.3 платные (0902)'!J20</f>
        <v>0</v>
      </c>
      <c r="K20" s="121">
        <f>'Табл. 4.3 платные (0902)'!K20</f>
        <v>0</v>
      </c>
      <c r="L20" s="121">
        <f>'Табл. 4.3 платные (0902)'!L20</f>
        <v>0</v>
      </c>
      <c r="M20" s="121">
        <f>'Табл. 4.3 платные (0902)'!M20</f>
        <v>0</v>
      </c>
      <c r="N20" s="121">
        <f>'Табл. 4.3 платные (0902)'!N20</f>
        <v>0</v>
      </c>
      <c r="O20" s="121">
        <f>'Табл. 4.3 платные (0902)'!O20</f>
        <v>0</v>
      </c>
      <c r="P20" s="121">
        <f>'Табл. 4.3 платные (0902)'!P20</f>
        <v>0</v>
      </c>
      <c r="Q20" s="121">
        <f>'Табл. 4.3 платные (0902)'!Q20</f>
        <v>0</v>
      </c>
      <c r="R20" s="121">
        <f>'Табл. 4.3 платные (0902)'!R20</f>
        <v>0</v>
      </c>
      <c r="S20" s="121">
        <f>'Табл. 4.3 платные (0902)'!S20</f>
        <v>0</v>
      </c>
      <c r="T20" s="121">
        <f>'Табл. 4.3 платные (0902)'!T20</f>
        <v>0</v>
      </c>
      <c r="U20" s="121">
        <f>'Табл. 4.3 платные (0902)'!U20</f>
        <v>0</v>
      </c>
      <c r="V20" s="121">
        <f>'Табл. 4.3 платные (0902)'!V20</f>
        <v>0</v>
      </c>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row>
    <row r="21" spans="1:75" s="28" customFormat="1" ht="50.25" customHeight="1" x14ac:dyDescent="0.25">
      <c r="A21" s="319" t="s">
        <v>262</v>
      </c>
      <c r="B21" s="319"/>
      <c r="C21" s="319"/>
      <c r="D21" s="319"/>
      <c r="E21" s="81">
        <v>1220</v>
      </c>
      <c r="F21" s="200">
        <v>130</v>
      </c>
      <c r="G21" s="200"/>
      <c r="H21" s="229">
        <f>'Табл. 4.3 платные (0902)'!H21</f>
        <v>0</v>
      </c>
      <c r="I21" s="121">
        <f>'Табл. 4.3 платные (0902)'!I21</f>
        <v>0</v>
      </c>
      <c r="J21" s="121">
        <f>'Табл. 4.3 платные (0902)'!J21</f>
        <v>0</v>
      </c>
      <c r="K21" s="121">
        <f>'Табл. 4.3 платные (0902)'!K21</f>
        <v>0</v>
      </c>
      <c r="L21" s="121">
        <f>'Табл. 4.3 платные (0902)'!L21</f>
        <v>0</v>
      </c>
      <c r="M21" s="121">
        <f>'Табл. 4.3 платные (0902)'!M21</f>
        <v>0</v>
      </c>
      <c r="N21" s="121">
        <f>'Табл. 4.3 платные (0902)'!N21</f>
        <v>0</v>
      </c>
      <c r="O21" s="121">
        <f>'Табл. 4.3 платные (0902)'!O21</f>
        <v>0</v>
      </c>
      <c r="P21" s="121">
        <f>'Табл. 4.3 платные (0902)'!P21</f>
        <v>0</v>
      </c>
      <c r="Q21" s="121">
        <f>'Табл. 4.3 платные (0902)'!Q21</f>
        <v>0</v>
      </c>
      <c r="R21" s="121">
        <f>'Табл. 4.3 платные (0902)'!R21</f>
        <v>0</v>
      </c>
      <c r="S21" s="121">
        <f>'Табл. 4.3 платные (0902)'!S21</f>
        <v>0</v>
      </c>
      <c r="T21" s="121">
        <f>'Табл. 4.3 платные (0902)'!T21</f>
        <v>0</v>
      </c>
      <c r="U21" s="121">
        <f>'Табл. 4.3 платные (0902)'!U21</f>
        <v>0</v>
      </c>
      <c r="V21" s="121">
        <f>'Табл. 4.3 платные (0902)'!V21</f>
        <v>0</v>
      </c>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row>
    <row r="22" spans="1:75" s="28" customFormat="1" ht="11.1" customHeight="1" x14ac:dyDescent="0.25">
      <c r="A22" s="319" t="s">
        <v>381</v>
      </c>
      <c r="B22" s="319"/>
      <c r="C22" s="319"/>
      <c r="D22" s="319"/>
      <c r="E22" s="84">
        <v>1230</v>
      </c>
      <c r="F22" s="200">
        <v>130</v>
      </c>
      <c r="G22" s="200">
        <v>131</v>
      </c>
      <c r="H22" s="229">
        <f>'Табл. 4.3 платные (0902)'!H22</f>
        <v>7120000</v>
      </c>
      <c r="I22" s="121">
        <f>'Табл. 4.3 платные (0902)'!I22</f>
        <v>9020000</v>
      </c>
      <c r="J22" s="121">
        <f>'Табл. 4.3 платные (0902)'!J22</f>
        <v>9020000</v>
      </c>
      <c r="K22" s="121">
        <f>'Табл. 4.3 платные (0902)'!K22</f>
        <v>6500000</v>
      </c>
      <c r="L22" s="121">
        <f>'Табл. 4.3 платные (0902)'!L22</f>
        <v>8400000</v>
      </c>
      <c r="M22" s="121">
        <f>'Табл. 4.3 платные (0902)'!M22</f>
        <v>8400000</v>
      </c>
      <c r="N22" s="121">
        <f>'Табл. 4.3 платные (0902)'!N22</f>
        <v>620000</v>
      </c>
      <c r="O22" s="121">
        <f>'Табл. 4.3 платные (0902)'!O22</f>
        <v>620000</v>
      </c>
      <c r="P22" s="121">
        <f>'Табл. 4.3 платные (0902)'!P22</f>
        <v>620000</v>
      </c>
      <c r="Q22" s="121">
        <f>'Табл. 4.3 платные (0902)'!Q22</f>
        <v>0</v>
      </c>
      <c r="R22" s="121">
        <f>'Табл. 4.3 платные (0902)'!R22</f>
        <v>0</v>
      </c>
      <c r="S22" s="121">
        <f>'Табл. 4.3 платные (0902)'!S22</f>
        <v>0</v>
      </c>
      <c r="T22" s="121">
        <f>'Табл. 4.3 платные (0902)'!T22</f>
        <v>0</v>
      </c>
      <c r="U22" s="121">
        <f>'Табл. 4.3 платные (0902)'!U22</f>
        <v>0</v>
      </c>
      <c r="V22" s="121">
        <f>'Табл. 4.3 платные (0902)'!V22</f>
        <v>0</v>
      </c>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row>
    <row r="23" spans="1:75" s="28" customFormat="1" ht="26.25" customHeight="1" x14ac:dyDescent="0.25">
      <c r="A23" s="319" t="s">
        <v>108</v>
      </c>
      <c r="B23" s="319"/>
      <c r="C23" s="319"/>
      <c r="D23" s="319"/>
      <c r="E23" s="81">
        <v>1300</v>
      </c>
      <c r="F23" s="200">
        <v>140</v>
      </c>
      <c r="G23" s="200"/>
      <c r="H23" s="229">
        <f>'Табл. 4.3 платные (0902)'!H23</f>
        <v>0</v>
      </c>
      <c r="I23" s="121">
        <f>'Табл. 4.3 платные (0902)'!I23</f>
        <v>0</v>
      </c>
      <c r="J23" s="121">
        <f>'Табл. 4.3 платные (0902)'!J23</f>
        <v>0</v>
      </c>
      <c r="K23" s="121">
        <f>'Табл. 4.3 платные (0902)'!K23</f>
        <v>0</v>
      </c>
      <c r="L23" s="121">
        <f>'Табл. 4.3 платные (0902)'!L23</f>
        <v>0</v>
      </c>
      <c r="M23" s="121">
        <f>'Табл. 4.3 платные (0902)'!M23</f>
        <v>0</v>
      </c>
      <c r="N23" s="121">
        <f>'Табл. 4.3 платные (0902)'!N23</f>
        <v>0</v>
      </c>
      <c r="O23" s="121">
        <f>'Табл. 4.3 платные (0902)'!O23</f>
        <v>0</v>
      </c>
      <c r="P23" s="121">
        <f>'Табл. 4.3 платные (0902)'!P23</f>
        <v>0</v>
      </c>
      <c r="Q23" s="121">
        <f>'Табл. 4.3 платные (0902)'!Q23</f>
        <v>0</v>
      </c>
      <c r="R23" s="121">
        <f>'Табл. 4.3 платные (0902)'!R23</f>
        <v>0</v>
      </c>
      <c r="S23" s="121">
        <f>'Табл. 4.3 платные (0902)'!S23</f>
        <v>0</v>
      </c>
      <c r="T23" s="121">
        <f>'Табл. 4.3 платные (0902)'!T23</f>
        <v>0</v>
      </c>
      <c r="U23" s="121">
        <f>'Табл. 4.3 платные (0902)'!U23</f>
        <v>0</v>
      </c>
      <c r="V23" s="121">
        <f>'Табл. 4.3 платные (0902)'!V23</f>
        <v>0</v>
      </c>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row>
    <row r="24" spans="1:75" s="28" customFormat="1" ht="11.1" customHeight="1" x14ac:dyDescent="0.25">
      <c r="A24" s="319" t="s">
        <v>24</v>
      </c>
      <c r="B24" s="319"/>
      <c r="C24" s="319"/>
      <c r="D24" s="319"/>
      <c r="E24" s="76"/>
      <c r="F24" s="200"/>
      <c r="G24" s="200"/>
      <c r="H24" s="229">
        <f>'Табл. 4.3 платные (0902)'!H24</f>
        <v>0</v>
      </c>
      <c r="I24" s="121">
        <f>'Табл. 4.3 платные (0902)'!I24</f>
        <v>0</v>
      </c>
      <c r="J24" s="121">
        <f>'Табл. 4.3 платные (0902)'!J24</f>
        <v>0</v>
      </c>
      <c r="K24" s="121">
        <f>'Табл. 4.3 платные (0902)'!K24</f>
        <v>0</v>
      </c>
      <c r="L24" s="121">
        <f>'Табл. 4.3 платные (0902)'!L24</f>
        <v>0</v>
      </c>
      <c r="M24" s="121">
        <f>'Табл. 4.3 платные (0902)'!M24</f>
        <v>0</v>
      </c>
      <c r="N24" s="121">
        <f>'Табл. 4.3 платные (0902)'!N24</f>
        <v>0</v>
      </c>
      <c r="O24" s="121">
        <f>'Табл. 4.3 платные (0902)'!O24</f>
        <v>0</v>
      </c>
      <c r="P24" s="121">
        <f>'Табл. 4.3 платные (0902)'!P24</f>
        <v>0</v>
      </c>
      <c r="Q24" s="121">
        <f>'Табл. 4.3 платные (0902)'!Q24</f>
        <v>0</v>
      </c>
      <c r="R24" s="121">
        <f>'Табл. 4.3 платные (0902)'!R24</f>
        <v>0</v>
      </c>
      <c r="S24" s="121">
        <f>'Табл. 4.3 платные (0902)'!S24</f>
        <v>0</v>
      </c>
      <c r="T24" s="121">
        <f>'Табл. 4.3 платные (0902)'!T24</f>
        <v>0</v>
      </c>
      <c r="U24" s="121">
        <f>'Табл. 4.3 платные (0902)'!U24</f>
        <v>0</v>
      </c>
      <c r="V24" s="121">
        <f>'Табл. 4.3 платные (0902)'!V24</f>
        <v>0</v>
      </c>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row>
    <row r="25" spans="1:75" s="28" customFormat="1" ht="13.5" customHeight="1" x14ac:dyDescent="0.25">
      <c r="A25" s="319"/>
      <c r="B25" s="319"/>
      <c r="C25" s="319"/>
      <c r="D25" s="319"/>
      <c r="E25" s="81">
        <v>1310</v>
      </c>
      <c r="F25" s="200">
        <v>140</v>
      </c>
      <c r="G25" s="200"/>
      <c r="H25" s="229">
        <f>'Табл. 4.3 платные (0902)'!H25</f>
        <v>0</v>
      </c>
      <c r="I25" s="121">
        <f>'Табл. 4.3 платные (0902)'!I25</f>
        <v>0</v>
      </c>
      <c r="J25" s="121">
        <f>'Табл. 4.3 платные (0902)'!J25</f>
        <v>0</v>
      </c>
      <c r="K25" s="121">
        <f>'Табл. 4.3 платные (0902)'!K25</f>
        <v>0</v>
      </c>
      <c r="L25" s="121">
        <f>'Табл. 4.3 платные (0902)'!L25</f>
        <v>0</v>
      </c>
      <c r="M25" s="121">
        <f>'Табл. 4.3 платные (0902)'!M25</f>
        <v>0</v>
      </c>
      <c r="N25" s="121">
        <f>'Табл. 4.3 платные (0902)'!N25</f>
        <v>0</v>
      </c>
      <c r="O25" s="121">
        <f>'Табл. 4.3 платные (0902)'!O25</f>
        <v>0</v>
      </c>
      <c r="P25" s="121">
        <f>'Табл. 4.3 платные (0902)'!P25</f>
        <v>0</v>
      </c>
      <c r="Q25" s="121">
        <f>'Табл. 4.3 платные (0902)'!Q25</f>
        <v>0</v>
      </c>
      <c r="R25" s="121">
        <f>'Табл. 4.3 платные (0902)'!R25</f>
        <v>0</v>
      </c>
      <c r="S25" s="121">
        <f>'Табл. 4.3 платные (0902)'!S25</f>
        <v>0</v>
      </c>
      <c r="T25" s="121">
        <f>'Табл. 4.3 платные (0902)'!T25</f>
        <v>0</v>
      </c>
      <c r="U25" s="121">
        <f>'Табл. 4.3 платные (0902)'!U25</f>
        <v>0</v>
      </c>
      <c r="V25" s="121">
        <f>'Табл. 4.3 платные (0902)'!V25</f>
        <v>0</v>
      </c>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row>
    <row r="26" spans="1:75" s="28" customFormat="1" ht="18.75" customHeight="1" x14ac:dyDescent="0.25">
      <c r="A26" s="319" t="s">
        <v>109</v>
      </c>
      <c r="B26" s="319"/>
      <c r="C26" s="319"/>
      <c r="D26" s="319"/>
      <c r="E26" s="81">
        <v>1400</v>
      </c>
      <c r="F26" s="200">
        <v>150</v>
      </c>
      <c r="G26" s="200"/>
      <c r="H26" s="229">
        <f>'Табл. 4.3 платные (0902)'!H26</f>
        <v>300000</v>
      </c>
      <c r="I26" s="121">
        <f>'Табл. 4.3 платные (0902)'!I26</f>
        <v>0</v>
      </c>
      <c r="J26" s="121">
        <f>'Табл. 4.3 платные (0902)'!J26</f>
        <v>0</v>
      </c>
      <c r="K26" s="121">
        <f>'Табл. 4.3 платные (0902)'!K26</f>
        <v>0</v>
      </c>
      <c r="L26" s="121">
        <f>'Табл. 4.3 платные (0902)'!L26</f>
        <v>0</v>
      </c>
      <c r="M26" s="121">
        <f>'Табл. 4.3 платные (0902)'!M26</f>
        <v>0</v>
      </c>
      <c r="N26" s="121">
        <f>'Табл. 4.3 платные (0902)'!N26</f>
        <v>0</v>
      </c>
      <c r="O26" s="121">
        <f>'Табл. 4.3 платные (0902)'!O26</f>
        <v>0</v>
      </c>
      <c r="P26" s="121">
        <f>'Табл. 4.3 платные (0902)'!P26</f>
        <v>0</v>
      </c>
      <c r="Q26" s="121">
        <f>'Табл. 4.3 платные (0902)'!Q26</f>
        <v>300000</v>
      </c>
      <c r="R26" s="121">
        <f>'Табл. 4.3 платные (0902)'!R26</f>
        <v>0</v>
      </c>
      <c r="S26" s="121">
        <f>'Табл. 4.3 платные (0902)'!S26</f>
        <v>0</v>
      </c>
      <c r="T26" s="121">
        <f>'Табл. 4.3 платные (0902)'!T26</f>
        <v>0</v>
      </c>
      <c r="U26" s="121">
        <f>'Табл. 4.3 платные (0902)'!U26</f>
        <v>0</v>
      </c>
      <c r="V26" s="121">
        <f>'Табл. 4.3 платные (0902)'!V26</f>
        <v>0</v>
      </c>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row>
    <row r="27" spans="1:75" s="28" customFormat="1" ht="11.1" customHeight="1" x14ac:dyDescent="0.25">
      <c r="A27" s="319" t="s">
        <v>24</v>
      </c>
      <c r="B27" s="319"/>
      <c r="C27" s="319"/>
      <c r="D27" s="319"/>
      <c r="E27" s="76"/>
      <c r="F27" s="227"/>
      <c r="G27" s="200"/>
      <c r="H27" s="229">
        <f>'Табл. 4.3 платные (0902)'!H27</f>
        <v>0</v>
      </c>
      <c r="I27" s="121">
        <f>'Табл. 4.3 платные (0902)'!I27</f>
        <v>0</v>
      </c>
      <c r="J27" s="121">
        <f>'Табл. 4.3 платные (0902)'!J27</f>
        <v>0</v>
      </c>
      <c r="K27" s="121">
        <f>'Табл. 4.3 платные (0902)'!K27</f>
        <v>0</v>
      </c>
      <c r="L27" s="121">
        <f>'Табл. 4.3 платные (0902)'!L27</f>
        <v>0</v>
      </c>
      <c r="M27" s="121">
        <f>'Табл. 4.3 платные (0902)'!M27</f>
        <v>0</v>
      </c>
      <c r="N27" s="121">
        <f>'Табл. 4.3 платные (0902)'!N27</f>
        <v>0</v>
      </c>
      <c r="O27" s="121">
        <f>'Табл. 4.3 платные (0902)'!O27</f>
        <v>0</v>
      </c>
      <c r="P27" s="121">
        <f>'Табл. 4.3 платные (0902)'!P27</f>
        <v>0</v>
      </c>
      <c r="Q27" s="121">
        <f>'Табл. 4.3 платные (0902)'!Q27</f>
        <v>0</v>
      </c>
      <c r="R27" s="121">
        <f>'Табл. 4.3 платные (0902)'!R27</f>
        <v>0</v>
      </c>
      <c r="S27" s="121">
        <f>'Табл. 4.3 платные (0902)'!S27</f>
        <v>0</v>
      </c>
      <c r="T27" s="121">
        <f>'Табл. 4.3 платные (0902)'!T27</f>
        <v>0</v>
      </c>
      <c r="U27" s="121">
        <f>'Табл. 4.3 платные (0902)'!U27</f>
        <v>0</v>
      </c>
      <c r="V27" s="121">
        <f>'Табл. 4.3 платные (0902)'!V27</f>
        <v>0</v>
      </c>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row>
    <row r="28" spans="1:75" s="28" customFormat="1" ht="12" customHeight="1" x14ac:dyDescent="0.25">
      <c r="A28" s="326" t="s">
        <v>111</v>
      </c>
      <c r="B28" s="327"/>
      <c r="C28" s="327"/>
      <c r="D28" s="328"/>
      <c r="E28" s="84">
        <v>1410</v>
      </c>
      <c r="F28" s="200">
        <v>150</v>
      </c>
      <c r="G28" s="200"/>
      <c r="H28" s="229">
        <f>'Табл. 4.3 платные (0902)'!H28</f>
        <v>0</v>
      </c>
      <c r="I28" s="121">
        <f>'Табл. 4.3 платные (0902)'!I28</f>
        <v>0</v>
      </c>
      <c r="J28" s="121">
        <f>'Табл. 4.3 платные (0902)'!J28</f>
        <v>0</v>
      </c>
      <c r="K28" s="121"/>
      <c r="L28" s="121"/>
      <c r="M28" s="121"/>
      <c r="N28" s="121"/>
      <c r="O28" s="121"/>
      <c r="P28" s="121"/>
      <c r="Q28" s="121"/>
      <c r="R28" s="121"/>
      <c r="S28" s="121"/>
      <c r="T28" s="121"/>
      <c r="U28" s="121"/>
      <c r="V28" s="12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row>
    <row r="29" spans="1:75" s="28" customFormat="1" ht="13.5" customHeight="1" x14ac:dyDescent="0.25">
      <c r="A29" s="326" t="s">
        <v>26</v>
      </c>
      <c r="B29" s="327"/>
      <c r="C29" s="327"/>
      <c r="D29" s="328"/>
      <c r="E29" s="84">
        <v>1420</v>
      </c>
      <c r="F29" s="200">
        <v>150</v>
      </c>
      <c r="G29" s="200"/>
      <c r="H29" s="229">
        <f>'Табл. 4.3 платные (0902)'!H29</f>
        <v>0</v>
      </c>
      <c r="I29" s="121">
        <f>'Табл. 4.3 платные (0902)'!I29</f>
        <v>0</v>
      </c>
      <c r="J29" s="121">
        <f>'Табл. 4.3 платные (0902)'!J29</f>
        <v>0</v>
      </c>
      <c r="K29" s="121"/>
      <c r="L29" s="121"/>
      <c r="M29" s="121"/>
      <c r="N29" s="121"/>
      <c r="O29" s="121"/>
      <c r="P29" s="121"/>
      <c r="Q29" s="121"/>
      <c r="R29" s="121"/>
      <c r="S29" s="121"/>
      <c r="T29" s="121"/>
      <c r="U29" s="121"/>
      <c r="V29" s="12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row>
    <row r="30" spans="1:75" s="28" customFormat="1" ht="15.75" customHeight="1" x14ac:dyDescent="0.25">
      <c r="A30" s="319" t="s">
        <v>388</v>
      </c>
      <c r="B30" s="319"/>
      <c r="C30" s="319"/>
      <c r="D30" s="319"/>
      <c r="E30" s="200">
        <v>1430</v>
      </c>
      <c r="F30" s="84">
        <v>150</v>
      </c>
      <c r="G30" s="200">
        <v>155</v>
      </c>
      <c r="H30" s="229">
        <f>'Табл. 4.3 платные (0902)'!H30</f>
        <v>300000</v>
      </c>
      <c r="I30" s="121">
        <f>'Табл. 4.3 платные (0902)'!I30</f>
        <v>0</v>
      </c>
      <c r="J30" s="121">
        <f>'Табл. 4.3 платные (0902)'!J30</f>
        <v>0</v>
      </c>
      <c r="K30" s="121">
        <f>'Табл. 4.3 платные (0902)'!K30</f>
        <v>0</v>
      </c>
      <c r="L30" s="121">
        <f>'Табл. 4.3 платные (0902)'!L30</f>
        <v>0</v>
      </c>
      <c r="M30" s="121">
        <f>'Табл. 4.3 платные (0902)'!M30</f>
        <v>0</v>
      </c>
      <c r="N30" s="121">
        <f>'Табл. 4.3 платные (0902)'!N30</f>
        <v>0</v>
      </c>
      <c r="O30" s="121">
        <f>'Табл. 4.3 платные (0902)'!O30</f>
        <v>0</v>
      </c>
      <c r="P30" s="121">
        <f>'Табл. 4.3 платные (0902)'!P30</f>
        <v>0</v>
      </c>
      <c r="Q30" s="121">
        <f>'Табл. 4.3 платные (0902)'!Q30</f>
        <v>300000</v>
      </c>
      <c r="R30" s="121">
        <f>'Табл. 4.3 платные (0902)'!R30</f>
        <v>0</v>
      </c>
      <c r="S30" s="121">
        <f>'Табл. 4.3 платные (0902)'!S30</f>
        <v>0</v>
      </c>
      <c r="T30" s="121">
        <f>'Табл. 4.3 платные (0902)'!T30</f>
        <v>0</v>
      </c>
      <c r="U30" s="121">
        <f>'Табл. 4.3 платные (0902)'!U30</f>
        <v>0</v>
      </c>
      <c r="V30" s="121">
        <f>'Табл. 4.3 платные (0902)'!V30</f>
        <v>0</v>
      </c>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row>
    <row r="31" spans="1:75" s="28" customFormat="1" ht="14.25" customHeight="1" x14ac:dyDescent="0.25">
      <c r="A31" s="319" t="s">
        <v>110</v>
      </c>
      <c r="B31" s="319"/>
      <c r="C31" s="319"/>
      <c r="D31" s="319"/>
      <c r="E31" s="81">
        <v>1500</v>
      </c>
      <c r="F31" s="200">
        <v>180</v>
      </c>
      <c r="G31" s="200"/>
      <c r="H31" s="229">
        <f>'Табл. 4.3 платные (0902)'!H31</f>
        <v>0</v>
      </c>
      <c r="I31" s="121">
        <f>'Табл. 4.3 платные (0902)'!I31</f>
        <v>0</v>
      </c>
      <c r="J31" s="121">
        <f>'Табл. 4.3 платные (0902)'!J31</f>
        <v>0</v>
      </c>
      <c r="K31" s="121">
        <f>'Табл. 4.3 платные (0902)'!K31</f>
        <v>0</v>
      </c>
      <c r="L31" s="121">
        <f>'Табл. 4.3 платные (0902)'!L31</f>
        <v>0</v>
      </c>
      <c r="M31" s="121">
        <f>'Табл. 4.3 платные (0902)'!M31</f>
        <v>0</v>
      </c>
      <c r="N31" s="121">
        <f>'Табл. 4.3 платные (0902)'!N31</f>
        <v>0</v>
      </c>
      <c r="O31" s="121">
        <f>'Табл. 4.3 платные (0902)'!O31</f>
        <v>0</v>
      </c>
      <c r="P31" s="121">
        <f>'Табл. 4.3 платные (0902)'!P31</f>
        <v>0</v>
      </c>
      <c r="Q31" s="121">
        <f>'Табл. 4.3 платные (0902)'!Q31</f>
        <v>0</v>
      </c>
      <c r="R31" s="121">
        <f>'Табл. 4.3 платные (0902)'!R31</f>
        <v>0</v>
      </c>
      <c r="S31" s="121">
        <f>'Табл. 4.3 платные (0902)'!S31</f>
        <v>0</v>
      </c>
      <c r="T31" s="121">
        <f>'Табл. 4.3 платные (0902)'!T31</f>
        <v>0</v>
      </c>
      <c r="U31" s="121">
        <f>'Табл. 4.3 платные (0902)'!U31</f>
        <v>0</v>
      </c>
      <c r="V31" s="121">
        <f>'Табл. 4.3 платные (0902)'!V31</f>
        <v>0</v>
      </c>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row>
    <row r="32" spans="1:75" s="28" customFormat="1" ht="11.1" customHeight="1" x14ac:dyDescent="0.25">
      <c r="A32" s="319" t="s">
        <v>24</v>
      </c>
      <c r="B32" s="319"/>
      <c r="C32" s="319"/>
      <c r="D32" s="319"/>
      <c r="E32" s="76"/>
      <c r="F32" s="227"/>
      <c r="G32" s="200"/>
      <c r="H32" s="229">
        <f>'Табл. 4.3 платные (0902)'!H32</f>
        <v>0</v>
      </c>
      <c r="I32" s="121">
        <f>'Табл. 4.3 платные (0902)'!I32</f>
        <v>0</v>
      </c>
      <c r="J32" s="121">
        <f>'Табл. 4.3 платные (0902)'!J32</f>
        <v>0</v>
      </c>
      <c r="K32" s="121">
        <f>'Табл. 4.3 платные (0902)'!K32</f>
        <v>0</v>
      </c>
      <c r="L32" s="121">
        <f>'Табл. 4.3 платные (0902)'!L32</f>
        <v>0</v>
      </c>
      <c r="M32" s="121">
        <f>'Табл. 4.3 платные (0902)'!M32</f>
        <v>0</v>
      </c>
      <c r="N32" s="121">
        <f>'Табл. 4.3 платные (0902)'!N32</f>
        <v>0</v>
      </c>
      <c r="O32" s="121">
        <f>'Табл. 4.3 платные (0902)'!O32</f>
        <v>0</v>
      </c>
      <c r="P32" s="121">
        <f>'Табл. 4.3 платные (0902)'!P32</f>
        <v>0</v>
      </c>
      <c r="Q32" s="121">
        <f>'Табл. 4.3 платные (0902)'!Q32</f>
        <v>0</v>
      </c>
      <c r="R32" s="121">
        <f>'Табл. 4.3 платные (0902)'!R32</f>
        <v>0</v>
      </c>
      <c r="S32" s="121">
        <f>'Табл. 4.3 платные (0902)'!S32</f>
        <v>0</v>
      </c>
      <c r="T32" s="121">
        <f>'Табл. 4.3 платные (0902)'!T32</f>
        <v>0</v>
      </c>
      <c r="U32" s="121">
        <f>'Табл. 4.3 платные (0902)'!U32</f>
        <v>0</v>
      </c>
      <c r="V32" s="121">
        <f>'Табл. 4.3 платные (0902)'!V32</f>
        <v>0</v>
      </c>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row>
    <row r="33" spans="1:75" s="28" customFormat="1" ht="15" customHeight="1" x14ac:dyDescent="0.25">
      <c r="A33" s="319"/>
      <c r="B33" s="319"/>
      <c r="C33" s="319"/>
      <c r="D33" s="319"/>
      <c r="E33" s="81">
        <v>1510</v>
      </c>
      <c r="F33" s="200">
        <v>180</v>
      </c>
      <c r="G33" s="200"/>
      <c r="H33" s="229">
        <f>'Табл. 4.3 платные (0902)'!H33</f>
        <v>0</v>
      </c>
      <c r="I33" s="121">
        <f>'Табл. 4.3 платные (0902)'!I33</f>
        <v>0</v>
      </c>
      <c r="J33" s="121">
        <f>'Табл. 4.3 платные (0902)'!J33</f>
        <v>0</v>
      </c>
      <c r="K33" s="121">
        <f>'Табл. 4.3 платные (0902)'!K33</f>
        <v>0</v>
      </c>
      <c r="L33" s="121">
        <f>'Табл. 4.3 платные (0902)'!L33</f>
        <v>0</v>
      </c>
      <c r="M33" s="121">
        <f>'Табл. 4.3 платные (0902)'!M33</f>
        <v>0</v>
      </c>
      <c r="N33" s="121">
        <f>'Табл. 4.3 платные (0902)'!N33</f>
        <v>0</v>
      </c>
      <c r="O33" s="121">
        <f>'Табл. 4.3 платные (0902)'!O33</f>
        <v>0</v>
      </c>
      <c r="P33" s="121">
        <f>'Табл. 4.3 платные (0902)'!P33</f>
        <v>0</v>
      </c>
      <c r="Q33" s="121">
        <f>'Табл. 4.3 платные (0902)'!Q33</f>
        <v>0</v>
      </c>
      <c r="R33" s="121">
        <f>'Табл. 4.3 платные (0902)'!R33</f>
        <v>0</v>
      </c>
      <c r="S33" s="121">
        <f>'Табл. 4.3 платные (0902)'!S33</f>
        <v>0</v>
      </c>
      <c r="T33" s="121">
        <f>'Табл. 4.3 платные (0902)'!T33</f>
        <v>0</v>
      </c>
      <c r="U33" s="121">
        <f>'Табл. 4.3 платные (0902)'!U33</f>
        <v>0</v>
      </c>
      <c r="V33" s="121">
        <f>'Табл. 4.3 платные (0902)'!V33</f>
        <v>0</v>
      </c>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row>
    <row r="34" spans="1:75" s="28" customFormat="1" ht="17.25" customHeight="1" x14ac:dyDescent="0.25">
      <c r="A34" s="319"/>
      <c r="B34" s="319"/>
      <c r="C34" s="319"/>
      <c r="D34" s="319"/>
      <c r="E34" s="81">
        <v>1520</v>
      </c>
      <c r="F34" s="200">
        <v>180</v>
      </c>
      <c r="G34" s="200"/>
      <c r="H34" s="229">
        <f>'Табл. 4.3 платные (0902)'!H34</f>
        <v>0</v>
      </c>
      <c r="I34" s="121">
        <f>'Табл. 4.3 платные (0902)'!I34</f>
        <v>0</v>
      </c>
      <c r="J34" s="121">
        <f>'Табл. 4.3 платные (0902)'!J34</f>
        <v>0</v>
      </c>
      <c r="K34" s="121">
        <f>'Табл. 4.3 платные (0902)'!K34</f>
        <v>0</v>
      </c>
      <c r="L34" s="121">
        <f>'Табл. 4.3 платные (0902)'!L34</f>
        <v>0</v>
      </c>
      <c r="M34" s="121">
        <f>'Табл. 4.3 платные (0902)'!M34</f>
        <v>0</v>
      </c>
      <c r="N34" s="121">
        <f>'Табл. 4.3 платные (0902)'!N34</f>
        <v>0</v>
      </c>
      <c r="O34" s="121">
        <f>'Табл. 4.3 платные (0902)'!O34</f>
        <v>0</v>
      </c>
      <c r="P34" s="121">
        <f>'Табл. 4.3 платные (0902)'!P34</f>
        <v>0</v>
      </c>
      <c r="Q34" s="121">
        <f>'Табл. 4.3 платные (0902)'!Q34</f>
        <v>0</v>
      </c>
      <c r="R34" s="121">
        <f>'Табл. 4.3 платные (0902)'!R34</f>
        <v>0</v>
      </c>
      <c r="S34" s="121">
        <f>'Табл. 4.3 платные (0902)'!S34</f>
        <v>0</v>
      </c>
      <c r="T34" s="121">
        <f>'Табл. 4.3 платные (0902)'!T34</f>
        <v>0</v>
      </c>
      <c r="U34" s="121">
        <f>'Табл. 4.3 платные (0902)'!U34</f>
        <v>0</v>
      </c>
      <c r="V34" s="121">
        <f>'Табл. 4.3 платные (0902)'!V34</f>
        <v>0</v>
      </c>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row>
    <row r="35" spans="1:75" s="28" customFormat="1" ht="11.1" customHeight="1" x14ac:dyDescent="0.25">
      <c r="A35" s="319"/>
      <c r="B35" s="319"/>
      <c r="C35" s="319"/>
      <c r="D35" s="319"/>
      <c r="E35" s="76"/>
      <c r="F35" s="227"/>
      <c r="G35" s="200"/>
      <c r="H35" s="229">
        <f>'Табл. 4.3 платные (0902)'!H35</f>
        <v>0</v>
      </c>
      <c r="I35" s="121">
        <f>'Табл. 4.3 платные (0902)'!I35</f>
        <v>0</v>
      </c>
      <c r="J35" s="121">
        <f>'Табл. 4.3 платные (0902)'!J35</f>
        <v>0</v>
      </c>
      <c r="K35" s="121">
        <f>'Табл. 4.3 платные (0902)'!K35</f>
        <v>0</v>
      </c>
      <c r="L35" s="121">
        <f>'Табл. 4.3 платные (0902)'!L35</f>
        <v>0</v>
      </c>
      <c r="M35" s="121">
        <f>'Табл. 4.3 платные (0902)'!M35</f>
        <v>0</v>
      </c>
      <c r="N35" s="121">
        <f>'Табл. 4.3 платные (0902)'!N35</f>
        <v>0</v>
      </c>
      <c r="O35" s="121">
        <f>'Табл. 4.3 платные (0902)'!O35</f>
        <v>0</v>
      </c>
      <c r="P35" s="121">
        <f>'Табл. 4.3 платные (0902)'!P35</f>
        <v>0</v>
      </c>
      <c r="Q35" s="121">
        <f>'Табл. 4.3 платные (0902)'!Q35</f>
        <v>0</v>
      </c>
      <c r="R35" s="121">
        <f>'Табл. 4.3 платные (0902)'!R35</f>
        <v>0</v>
      </c>
      <c r="S35" s="121">
        <f>'Табл. 4.3 платные (0902)'!S35</f>
        <v>0</v>
      </c>
      <c r="T35" s="121">
        <f>'Табл. 4.3 платные (0902)'!T35</f>
        <v>0</v>
      </c>
      <c r="U35" s="121">
        <f>'Табл. 4.3 платные (0902)'!U35</f>
        <v>0</v>
      </c>
      <c r="V35" s="121">
        <f>'Табл. 4.3 платные (0902)'!V35</f>
        <v>0</v>
      </c>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row>
    <row r="36" spans="1:75" s="28" customFormat="1" ht="17.25" customHeight="1" x14ac:dyDescent="0.25">
      <c r="A36" s="319" t="s">
        <v>112</v>
      </c>
      <c r="B36" s="319"/>
      <c r="C36" s="319"/>
      <c r="D36" s="319"/>
      <c r="E36" s="81">
        <v>1900</v>
      </c>
      <c r="F36" s="227"/>
      <c r="G36" s="200"/>
      <c r="H36" s="229">
        <f>'Табл. 4.3 платные (0902)'!H36</f>
        <v>0</v>
      </c>
      <c r="I36" s="121">
        <f>'Табл. 4.3 платные (0902)'!I36</f>
        <v>0</v>
      </c>
      <c r="J36" s="121">
        <f>'Табл. 4.3 платные (0902)'!J36</f>
        <v>0</v>
      </c>
      <c r="K36" s="121">
        <f>'Табл. 4.3 платные (0902)'!K36</f>
        <v>0</v>
      </c>
      <c r="L36" s="121">
        <f>'Табл. 4.3 платные (0902)'!L36</f>
        <v>0</v>
      </c>
      <c r="M36" s="121">
        <f>'Табл. 4.3 платные (0902)'!M36</f>
        <v>0</v>
      </c>
      <c r="N36" s="121">
        <f>'Табл. 4.3 платные (0902)'!N36</f>
        <v>0</v>
      </c>
      <c r="O36" s="121">
        <f>'Табл. 4.3 платные (0902)'!O36</f>
        <v>0</v>
      </c>
      <c r="P36" s="121">
        <f>'Табл. 4.3 платные (0902)'!P36</f>
        <v>0</v>
      </c>
      <c r="Q36" s="121">
        <f>'Табл. 4.3 платные (0902)'!Q36</f>
        <v>0</v>
      </c>
      <c r="R36" s="121">
        <f>'Табл. 4.3 платные (0902)'!R36</f>
        <v>0</v>
      </c>
      <c r="S36" s="121">
        <f>'Табл. 4.3 платные (0902)'!S36</f>
        <v>0</v>
      </c>
      <c r="T36" s="121">
        <f>'Табл. 4.3 платные (0902)'!T36</f>
        <v>0</v>
      </c>
      <c r="U36" s="121">
        <f>'Табл. 4.3 платные (0902)'!U36</f>
        <v>0</v>
      </c>
      <c r="V36" s="121">
        <f>'Табл. 4.3 платные (0902)'!V36</f>
        <v>0</v>
      </c>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row>
    <row r="37" spans="1:75" s="28" customFormat="1" ht="14.25" customHeight="1" x14ac:dyDescent="0.25">
      <c r="A37" s="319" t="s">
        <v>24</v>
      </c>
      <c r="B37" s="319"/>
      <c r="C37" s="319"/>
      <c r="D37" s="319"/>
      <c r="E37" s="76"/>
      <c r="F37" s="227"/>
      <c r="G37" s="200"/>
      <c r="H37" s="229">
        <f>'Табл. 4.3 платные (0902)'!H37</f>
        <v>0</v>
      </c>
      <c r="I37" s="121">
        <f>'Табл. 4.3 платные (0902)'!I37</f>
        <v>0</v>
      </c>
      <c r="J37" s="121">
        <f>'Табл. 4.3 платные (0902)'!J37</f>
        <v>0</v>
      </c>
      <c r="K37" s="121">
        <f>'Табл. 4.3 платные (0902)'!K37</f>
        <v>0</v>
      </c>
      <c r="L37" s="121">
        <f>'Табл. 4.3 платные (0902)'!L37</f>
        <v>0</v>
      </c>
      <c r="M37" s="121">
        <f>'Табл. 4.3 платные (0902)'!M37</f>
        <v>0</v>
      </c>
      <c r="N37" s="121">
        <f>'Табл. 4.3 платные (0902)'!N37</f>
        <v>0</v>
      </c>
      <c r="O37" s="121">
        <f>'Табл. 4.3 платные (0902)'!O37</f>
        <v>0</v>
      </c>
      <c r="P37" s="121">
        <f>'Табл. 4.3 платные (0902)'!P37</f>
        <v>0</v>
      </c>
      <c r="Q37" s="121">
        <f>'Табл. 4.3 платные (0902)'!Q37</f>
        <v>0</v>
      </c>
      <c r="R37" s="121">
        <f>'Табл. 4.3 платные (0902)'!R37</f>
        <v>0</v>
      </c>
      <c r="S37" s="121">
        <f>'Табл. 4.3 платные (0902)'!S37</f>
        <v>0</v>
      </c>
      <c r="T37" s="121">
        <f>'Табл. 4.3 платные (0902)'!T37</f>
        <v>0</v>
      </c>
      <c r="U37" s="121">
        <f>'Табл. 4.3 платные (0902)'!U37</f>
        <v>0</v>
      </c>
      <c r="V37" s="121">
        <f>'Табл. 4.3 платные (0902)'!V37</f>
        <v>0</v>
      </c>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row>
    <row r="38" spans="1:75" s="28" customFormat="1" ht="11.1" customHeight="1" x14ac:dyDescent="0.25">
      <c r="A38" s="319"/>
      <c r="B38" s="319"/>
      <c r="C38" s="319"/>
      <c r="D38" s="319"/>
      <c r="E38" s="76"/>
      <c r="F38" s="227"/>
      <c r="G38" s="200"/>
      <c r="H38" s="229">
        <f>'Табл. 4.3 платные (0902)'!H38</f>
        <v>0</v>
      </c>
      <c r="I38" s="121">
        <f>'Табл. 4.3 платные (0902)'!I38</f>
        <v>0</v>
      </c>
      <c r="J38" s="121">
        <f>'Табл. 4.3 платные (0902)'!J38</f>
        <v>0</v>
      </c>
      <c r="K38" s="121">
        <f>'Табл. 4.3 платные (0902)'!K38</f>
        <v>0</v>
      </c>
      <c r="L38" s="121">
        <f>'Табл. 4.3 платные (0902)'!L38</f>
        <v>0</v>
      </c>
      <c r="M38" s="121">
        <f>'Табл. 4.3 платные (0902)'!M38</f>
        <v>0</v>
      </c>
      <c r="N38" s="121">
        <f>'Табл. 4.3 платные (0902)'!N38</f>
        <v>0</v>
      </c>
      <c r="O38" s="121">
        <f>'Табл. 4.3 платные (0902)'!O38</f>
        <v>0</v>
      </c>
      <c r="P38" s="121">
        <f>'Табл. 4.3 платные (0902)'!P38</f>
        <v>0</v>
      </c>
      <c r="Q38" s="121">
        <f>'Табл. 4.3 платные (0902)'!Q38</f>
        <v>0</v>
      </c>
      <c r="R38" s="121">
        <f>'Табл. 4.3 платные (0902)'!R38</f>
        <v>0</v>
      </c>
      <c r="S38" s="121">
        <f>'Табл. 4.3 платные (0902)'!S38</f>
        <v>0</v>
      </c>
      <c r="T38" s="121">
        <f>'Табл. 4.3 платные (0902)'!T38</f>
        <v>0</v>
      </c>
      <c r="U38" s="121">
        <f>'Табл. 4.3 платные (0902)'!U38</f>
        <v>0</v>
      </c>
      <c r="V38" s="121">
        <f>'Табл. 4.3 платные (0902)'!V38</f>
        <v>0</v>
      </c>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row>
    <row r="39" spans="1:75" s="28" customFormat="1" ht="11.1" customHeight="1" x14ac:dyDescent="0.25">
      <c r="A39" s="319"/>
      <c r="B39" s="319"/>
      <c r="C39" s="319"/>
      <c r="D39" s="319"/>
      <c r="E39" s="76"/>
      <c r="F39" s="227"/>
      <c r="G39" s="200"/>
      <c r="H39" s="229">
        <f>'Табл. 4.3 платные (0902)'!H39</f>
        <v>0</v>
      </c>
      <c r="I39" s="121">
        <f>'Табл. 4.3 платные (0902)'!I39</f>
        <v>0</v>
      </c>
      <c r="J39" s="121">
        <f>'Табл. 4.3 платные (0902)'!J39</f>
        <v>0</v>
      </c>
      <c r="K39" s="121">
        <f>'Табл. 4.3 платные (0902)'!K39</f>
        <v>0</v>
      </c>
      <c r="L39" s="121">
        <f>'Табл. 4.3 платные (0902)'!L39</f>
        <v>0</v>
      </c>
      <c r="M39" s="121">
        <f>'Табл. 4.3 платные (0902)'!M39</f>
        <v>0</v>
      </c>
      <c r="N39" s="121">
        <f>'Табл. 4.3 платные (0902)'!N39</f>
        <v>0</v>
      </c>
      <c r="O39" s="121">
        <f>'Табл. 4.3 платные (0902)'!O39</f>
        <v>0</v>
      </c>
      <c r="P39" s="121">
        <f>'Табл. 4.3 платные (0902)'!P39</f>
        <v>0</v>
      </c>
      <c r="Q39" s="121">
        <f>'Табл. 4.3 платные (0902)'!Q39</f>
        <v>0</v>
      </c>
      <c r="R39" s="121">
        <f>'Табл. 4.3 платные (0902)'!R39</f>
        <v>0</v>
      </c>
      <c r="S39" s="121">
        <f>'Табл. 4.3 платные (0902)'!S39</f>
        <v>0</v>
      </c>
      <c r="T39" s="121">
        <f>'Табл. 4.3 платные (0902)'!T39</f>
        <v>0</v>
      </c>
      <c r="U39" s="121">
        <f>'Табл. 4.3 платные (0902)'!U39</f>
        <v>0</v>
      </c>
      <c r="V39" s="121">
        <f>'Табл. 4.3 платные (0902)'!V39</f>
        <v>0</v>
      </c>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row>
    <row r="40" spans="1:75" s="28" customFormat="1" ht="12.75" customHeight="1" x14ac:dyDescent="0.25">
      <c r="A40" s="319" t="s">
        <v>113</v>
      </c>
      <c r="B40" s="319"/>
      <c r="C40" s="319"/>
      <c r="D40" s="319"/>
      <c r="E40" s="81">
        <v>1980</v>
      </c>
      <c r="F40" s="200" t="s">
        <v>9</v>
      </c>
      <c r="G40" s="200"/>
      <c r="H40" s="229">
        <f>'Табл. 4.3 платные (0902)'!H40</f>
        <v>2000</v>
      </c>
      <c r="I40" s="121">
        <f>'Табл. 4.3 платные (0902)'!I40</f>
        <v>0</v>
      </c>
      <c r="J40" s="121">
        <f>'Табл. 4.3 платные (0902)'!J40</f>
        <v>0</v>
      </c>
      <c r="K40" s="121">
        <f>'Табл. 4.3 платные (0902)'!K40</f>
        <v>2000</v>
      </c>
      <c r="L40" s="121">
        <f>'Табл. 4.3 платные (0902)'!L40</f>
        <v>0</v>
      </c>
      <c r="M40" s="121">
        <f>'Табл. 4.3 платные (0902)'!M40</f>
        <v>0</v>
      </c>
      <c r="N40" s="121">
        <f>'Табл. 4.3 платные (0902)'!N40</f>
        <v>0</v>
      </c>
      <c r="O40" s="121">
        <f>'Табл. 4.3 платные (0902)'!O40</f>
        <v>0</v>
      </c>
      <c r="P40" s="121">
        <f>'Табл. 4.3 платные (0902)'!P40</f>
        <v>0</v>
      </c>
      <c r="Q40" s="121">
        <f>'Табл. 4.3 платные (0902)'!Q40</f>
        <v>0</v>
      </c>
      <c r="R40" s="121">
        <f>'Табл. 4.3 платные (0902)'!R40</f>
        <v>0</v>
      </c>
      <c r="S40" s="121">
        <f>'Табл. 4.3 платные (0902)'!S40</f>
        <v>0</v>
      </c>
      <c r="T40" s="121">
        <f>'Табл. 4.3 платные (0902)'!T40</f>
        <v>0</v>
      </c>
      <c r="U40" s="121">
        <f>'Табл. 4.3 платные (0902)'!U40</f>
        <v>0</v>
      </c>
      <c r="V40" s="121">
        <f>'Табл. 4.3 платные (0902)'!V40</f>
        <v>0</v>
      </c>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row>
    <row r="41" spans="1:75" s="28" customFormat="1" ht="33.75" customHeight="1" x14ac:dyDescent="0.25">
      <c r="A41" s="319" t="s">
        <v>114</v>
      </c>
      <c r="B41" s="319"/>
      <c r="C41" s="319"/>
      <c r="D41" s="319"/>
      <c r="E41" s="81">
        <v>1981</v>
      </c>
      <c r="F41" s="235">
        <v>510</v>
      </c>
      <c r="G41" s="200"/>
      <c r="H41" s="229">
        <f>'Табл. 4.3 платные (0902)'!H41</f>
        <v>2000</v>
      </c>
      <c r="I41" s="121">
        <f>'Табл. 4.3 платные (0902)'!I41</f>
        <v>0</v>
      </c>
      <c r="J41" s="121">
        <f>'Табл. 4.3 платные (0902)'!J41</f>
        <v>0</v>
      </c>
      <c r="K41" s="121">
        <f>'Табл. 4.3 платные (0902)'!K41</f>
        <v>2000</v>
      </c>
      <c r="L41" s="121">
        <f>'Табл. 4.3 платные (0902)'!L41</f>
        <v>0</v>
      </c>
      <c r="M41" s="121">
        <f>'Табл. 4.3 платные (0902)'!M41</f>
        <v>0</v>
      </c>
      <c r="N41" s="121">
        <f>'Табл. 4.3 платные (0902)'!N41</f>
        <v>0</v>
      </c>
      <c r="O41" s="121">
        <f>'Табл. 4.3 платные (0902)'!O41</f>
        <v>0</v>
      </c>
      <c r="P41" s="121">
        <f>'Табл. 4.3 платные (0902)'!P41</f>
        <v>0</v>
      </c>
      <c r="Q41" s="121">
        <f>'Табл. 4.3 платные (0902)'!Q41</f>
        <v>0</v>
      </c>
      <c r="R41" s="121">
        <f>'Табл. 4.3 платные (0902)'!R41</f>
        <v>0</v>
      </c>
      <c r="S41" s="121">
        <f>'Табл. 4.3 платные (0902)'!S41</f>
        <v>0</v>
      </c>
      <c r="T41" s="121">
        <f>'Табл. 4.3 платные (0902)'!T41</f>
        <v>0</v>
      </c>
      <c r="U41" s="121">
        <f>'Табл. 4.3 платные (0902)'!U41</f>
        <v>0</v>
      </c>
      <c r="V41" s="121">
        <f>'Табл. 4.3 платные (0902)'!V41</f>
        <v>0</v>
      </c>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row>
    <row r="42" spans="1:75" s="28" customFormat="1" ht="11.1" customHeight="1" x14ac:dyDescent="0.25">
      <c r="A42" s="319"/>
      <c r="B42" s="319"/>
      <c r="C42" s="319"/>
      <c r="D42" s="319"/>
      <c r="E42" s="81">
        <v>1990</v>
      </c>
      <c r="F42" s="227"/>
      <c r="G42" s="200"/>
      <c r="H42" s="121">
        <f>'Табл. 4.3 платные (0902)'!H42</f>
        <v>0</v>
      </c>
      <c r="I42" s="121">
        <f>'Табл. 4.3 платные (0902)'!I42</f>
        <v>0</v>
      </c>
      <c r="J42" s="121">
        <f>'Табл. 4.3 платные (0902)'!J42</f>
        <v>0</v>
      </c>
      <c r="K42" s="121">
        <f>'Табл. 4.3 платные (0902)'!K42</f>
        <v>0</v>
      </c>
      <c r="L42" s="121">
        <f>'Табл. 4.3 платные (0902)'!L42</f>
        <v>0</v>
      </c>
      <c r="M42" s="121">
        <f>'Табл. 4.3 платные (0902)'!M42</f>
        <v>0</v>
      </c>
      <c r="N42" s="121">
        <f>'Табл. 4.3 платные (0902)'!N42</f>
        <v>0</v>
      </c>
      <c r="O42" s="121">
        <f>'Табл. 4.3 платные (0902)'!O42</f>
        <v>0</v>
      </c>
      <c r="P42" s="121">
        <f>'Табл. 4.3 платные (0902)'!P42</f>
        <v>0</v>
      </c>
      <c r="Q42" s="121">
        <f>'Табл. 4.3 платные (0902)'!Q42</f>
        <v>0</v>
      </c>
      <c r="R42" s="121">
        <f>'Табл. 4.3 платные (0902)'!R42</f>
        <v>0</v>
      </c>
      <c r="S42" s="121">
        <f>'Табл. 4.3 платные (0902)'!S42</f>
        <v>0</v>
      </c>
      <c r="T42" s="121">
        <f>'Табл. 4.3 платные (0902)'!T42</f>
        <v>0</v>
      </c>
      <c r="U42" s="121">
        <f>'Табл. 4.3 платные (0902)'!U42</f>
        <v>0</v>
      </c>
      <c r="V42" s="121">
        <f>'Табл. 4.3 платные (0902)'!V42</f>
        <v>0</v>
      </c>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row>
    <row r="43" spans="1:75" s="28" customFormat="1" ht="18.75" customHeight="1" x14ac:dyDescent="0.25">
      <c r="A43" s="472" t="s">
        <v>115</v>
      </c>
      <c r="B43" s="472"/>
      <c r="C43" s="472"/>
      <c r="D43" s="472"/>
      <c r="E43" s="85">
        <v>2000</v>
      </c>
      <c r="F43" s="217" t="s">
        <v>9</v>
      </c>
      <c r="G43" s="217"/>
      <c r="H43" s="123">
        <f>'Табл. 4.3 платные (0902)'!H43</f>
        <v>8793368.4700000007</v>
      </c>
      <c r="I43" s="123">
        <f>'Табл. 4.3 платные (0902)'!I43</f>
        <v>9220000</v>
      </c>
      <c r="J43" s="123">
        <f>'Табл. 4.3 платные (0902)'!J43</f>
        <v>9220000</v>
      </c>
      <c r="K43" s="123">
        <f>'Табл. 4.3 платные (0902)'!K43</f>
        <v>7455620.7800000003</v>
      </c>
      <c r="L43" s="123">
        <f>'Табл. 4.3 платные (0902)'!L43</f>
        <v>8600000</v>
      </c>
      <c r="M43" s="123">
        <f>'Табл. 4.3 платные (0902)'!M43</f>
        <v>8600000</v>
      </c>
      <c r="N43" s="123">
        <f>'Табл. 4.3 платные (0902)'!N43</f>
        <v>1037747.69</v>
      </c>
      <c r="O43" s="123">
        <f>'Табл. 4.3 платные (0902)'!O43</f>
        <v>620000</v>
      </c>
      <c r="P43" s="123">
        <f>'Табл. 4.3 платные (0902)'!P43</f>
        <v>620000</v>
      </c>
      <c r="Q43" s="123">
        <f>'Табл. 4.3 платные (0902)'!Q43</f>
        <v>300000</v>
      </c>
      <c r="R43" s="123">
        <f>'Табл. 4.3 платные (0902)'!R43</f>
        <v>0</v>
      </c>
      <c r="S43" s="123">
        <f>'Табл. 4.3 платные (0902)'!S43</f>
        <v>0</v>
      </c>
      <c r="T43" s="123">
        <f>'Табл. 4.3 платные (0902)'!T43</f>
        <v>0</v>
      </c>
      <c r="U43" s="123">
        <f>'Табл. 4.3 платные (0902)'!U43</f>
        <v>0</v>
      </c>
      <c r="V43" s="123">
        <f>'Табл. 4.3 платные (0902)'!V43</f>
        <v>0</v>
      </c>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row>
    <row r="44" spans="1:75" s="28" customFormat="1" ht="22.5" customHeight="1" x14ac:dyDescent="0.25">
      <c r="A44" s="319" t="s">
        <v>116</v>
      </c>
      <c r="B44" s="319"/>
      <c r="C44" s="319"/>
      <c r="D44" s="319"/>
      <c r="E44" s="84">
        <v>2100</v>
      </c>
      <c r="F44" s="200" t="s">
        <v>9</v>
      </c>
      <c r="G44" s="200"/>
      <c r="H44" s="123">
        <f>'Табл. 4.3 платные (0902)'!H44</f>
        <v>5402768.4100000001</v>
      </c>
      <c r="I44" s="123">
        <f>'Табл. 4.3 платные (0902)'!I44</f>
        <v>5924039</v>
      </c>
      <c r="J44" s="123">
        <f>'Табл. 4.3 платные (0902)'!J44</f>
        <v>6392139</v>
      </c>
      <c r="K44" s="123">
        <f>'Табл. 4.3 платные (0902)'!K44</f>
        <v>5135858.41</v>
      </c>
      <c r="L44" s="123">
        <f>'Табл. 4.3 платные (0902)'!L44</f>
        <v>5657129</v>
      </c>
      <c r="M44" s="123">
        <f>'Табл. 4.3 платные (0902)'!M44</f>
        <v>6125229</v>
      </c>
      <c r="N44" s="123">
        <f>'Табл. 4.3 платные (0902)'!N44</f>
        <v>266910</v>
      </c>
      <c r="O44" s="123">
        <f>'Табл. 4.3 платные (0902)'!O44</f>
        <v>266910</v>
      </c>
      <c r="P44" s="123">
        <f>'Табл. 4.3 платные (0902)'!P44</f>
        <v>266910</v>
      </c>
      <c r="Q44" s="123">
        <f>'Табл. 4.3 платные (0902)'!Q44</f>
        <v>0</v>
      </c>
      <c r="R44" s="123">
        <f>'Табл. 4.3 платные (0902)'!R44</f>
        <v>0</v>
      </c>
      <c r="S44" s="123">
        <f>'Табл. 4.3 платные (0902)'!S44</f>
        <v>0</v>
      </c>
      <c r="T44" s="123">
        <f>'Табл. 4.3 платные (0902)'!T44</f>
        <v>0</v>
      </c>
      <c r="U44" s="123">
        <f>'Табл. 4.3 платные (0902)'!U44</f>
        <v>0</v>
      </c>
      <c r="V44" s="123">
        <f>'Табл. 4.3 платные (0902)'!V44</f>
        <v>0</v>
      </c>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row>
    <row r="45" spans="1:75" s="28" customFormat="1" ht="22.5" customHeight="1" x14ac:dyDescent="0.25">
      <c r="A45" s="319" t="s">
        <v>117</v>
      </c>
      <c r="B45" s="319"/>
      <c r="C45" s="319"/>
      <c r="D45" s="319"/>
      <c r="E45" s="84">
        <v>2110</v>
      </c>
      <c r="F45" s="200">
        <v>111</v>
      </c>
      <c r="G45" s="200">
        <v>211</v>
      </c>
      <c r="H45" s="121">
        <f>'Табл. 4.3 платные (0902)'!H45</f>
        <v>4074616</v>
      </c>
      <c r="I45" s="121">
        <f>'Табл. 4.3 платные (0902)'!I45</f>
        <v>4436666</v>
      </c>
      <c r="J45" s="121">
        <f>'Табл. 4.3 платные (0902)'!J45</f>
        <v>4796190</v>
      </c>
      <c r="K45" s="121">
        <f>'Табл. 4.3 платные (0902)'!K45</f>
        <v>3869616</v>
      </c>
      <c r="L45" s="121">
        <f>'Табл. 4.3 платные (0902)'!L45</f>
        <v>4231666</v>
      </c>
      <c r="M45" s="121">
        <f>'Табл. 4.3 платные (0902)'!M45</f>
        <v>4591190</v>
      </c>
      <c r="N45" s="121">
        <f>'Табл. 4.3 платные (0902)'!N45</f>
        <v>205000</v>
      </c>
      <c r="O45" s="121">
        <f>'Табл. 4.3 платные (0902)'!O45</f>
        <v>205000</v>
      </c>
      <c r="P45" s="121">
        <f>'Табл. 4.3 платные (0902)'!P45</f>
        <v>205000</v>
      </c>
      <c r="Q45" s="121">
        <f>'Табл. 4.3 платные (0902)'!Q45</f>
        <v>0</v>
      </c>
      <c r="R45" s="121">
        <f>'Табл. 4.3 платные (0902)'!R45</f>
        <v>0</v>
      </c>
      <c r="S45" s="121">
        <f>'Табл. 4.3 платные (0902)'!S45</f>
        <v>0</v>
      </c>
      <c r="T45" s="121">
        <f>'Табл. 4.3 платные (0902)'!T45</f>
        <v>0</v>
      </c>
      <c r="U45" s="121">
        <f>'Табл. 4.3 платные (0902)'!U45</f>
        <v>0</v>
      </c>
      <c r="V45" s="121">
        <f>'Табл. 4.3 платные (0902)'!V45</f>
        <v>0</v>
      </c>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row>
    <row r="46" spans="1:75" s="28" customFormat="1" ht="24" customHeight="1" x14ac:dyDescent="0.25">
      <c r="A46" s="326" t="s">
        <v>306</v>
      </c>
      <c r="B46" s="327"/>
      <c r="C46" s="327"/>
      <c r="D46" s="328"/>
      <c r="E46" s="84"/>
      <c r="F46" s="200">
        <v>111</v>
      </c>
      <c r="G46" s="200">
        <v>266</v>
      </c>
      <c r="H46" s="121">
        <f>'Табл. 4.3 платные (0902)'!H46</f>
        <v>30000</v>
      </c>
      <c r="I46" s="121">
        <f>'Табл. 4.3 платные (0902)'!I46</f>
        <v>5000</v>
      </c>
      <c r="J46" s="121">
        <f>'Табл. 4.3 платные (0902)'!J46</f>
        <v>5000</v>
      </c>
      <c r="K46" s="121">
        <f>'Табл. 4.3 платные (0902)'!K46</f>
        <v>30000</v>
      </c>
      <c r="L46" s="121">
        <f>'Табл. 4.3 платные (0902)'!L46</f>
        <v>5000</v>
      </c>
      <c r="M46" s="121">
        <f>'Табл. 4.3 платные (0902)'!M46</f>
        <v>5000</v>
      </c>
      <c r="N46" s="121">
        <f>'Табл. 4.3 платные (0902)'!N46</f>
        <v>0</v>
      </c>
      <c r="O46" s="121">
        <f>'Табл. 4.3 платные (0902)'!O46</f>
        <v>0</v>
      </c>
      <c r="P46" s="121">
        <f>'Табл. 4.3 платные (0902)'!P46</f>
        <v>0</v>
      </c>
      <c r="Q46" s="121">
        <f>'Табл. 4.3 платные (0902)'!Q46</f>
        <v>0</v>
      </c>
      <c r="R46" s="121">
        <f>'Табл. 4.3 платные (0902)'!R46</f>
        <v>0</v>
      </c>
      <c r="S46" s="121">
        <f>'Табл. 4.3 платные (0902)'!S46</f>
        <v>0</v>
      </c>
      <c r="T46" s="121">
        <f>'Табл. 4.3 платные (0902)'!T46</f>
        <v>0</v>
      </c>
      <c r="U46" s="121">
        <f>'Табл. 4.3 платные (0902)'!U46</f>
        <v>0</v>
      </c>
      <c r="V46" s="121">
        <f>'Табл. 4.3 платные (0902)'!V46</f>
        <v>0</v>
      </c>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row>
    <row r="47" spans="1:75" s="28" customFormat="1" ht="24" customHeight="1" x14ac:dyDescent="0.25">
      <c r="A47" s="326" t="s">
        <v>363</v>
      </c>
      <c r="B47" s="327"/>
      <c r="C47" s="327"/>
      <c r="D47" s="328"/>
      <c r="E47" s="84"/>
      <c r="F47" s="200">
        <v>112</v>
      </c>
      <c r="G47" s="200">
        <v>212</v>
      </c>
      <c r="H47" s="121">
        <f>'Табл. 4.3 платные (0902)'!H47</f>
        <v>70000</v>
      </c>
      <c r="I47" s="121">
        <f>'Табл. 4.3 платные (0902)'!I47</f>
        <v>60000</v>
      </c>
      <c r="J47" s="121">
        <f>'Табл. 4.3 платные (0902)'!J47</f>
        <v>60000</v>
      </c>
      <c r="K47" s="121">
        <f>'Табл. 4.3 платные (0902)'!K47</f>
        <v>70000</v>
      </c>
      <c r="L47" s="121">
        <f>'Табл. 4.3 платные (0902)'!L47</f>
        <v>60000</v>
      </c>
      <c r="M47" s="121">
        <f>'Табл. 4.3 платные (0902)'!M47</f>
        <v>60000</v>
      </c>
      <c r="N47" s="121">
        <f>'Табл. 4.3 платные (0902)'!N47</f>
        <v>0</v>
      </c>
      <c r="O47" s="121">
        <f>'Табл. 4.3 платные (0902)'!O47</f>
        <v>0</v>
      </c>
      <c r="P47" s="121">
        <f>'Табл. 4.3 платные (0902)'!P47</f>
        <v>0</v>
      </c>
      <c r="Q47" s="121">
        <f>'Табл. 4.3 платные (0902)'!Q47</f>
        <v>0</v>
      </c>
      <c r="R47" s="121">
        <f>'Табл. 4.3 платные (0902)'!R47</f>
        <v>0</v>
      </c>
      <c r="S47" s="121">
        <f>'Табл. 4.3 платные (0902)'!S47</f>
        <v>0</v>
      </c>
      <c r="T47" s="121">
        <f>'Табл. 4.3 платные (0902)'!T47</f>
        <v>0</v>
      </c>
      <c r="U47" s="121">
        <f>'Табл. 4.3 платные (0902)'!U47</f>
        <v>0</v>
      </c>
      <c r="V47" s="121">
        <f>'Табл. 4.3 платные (0902)'!V47</f>
        <v>0</v>
      </c>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row>
    <row r="48" spans="1:75" s="28" customFormat="1" ht="24" customHeight="1" x14ac:dyDescent="0.25">
      <c r="A48" s="305" t="s">
        <v>344</v>
      </c>
      <c r="B48" s="306"/>
      <c r="C48" s="306"/>
      <c r="D48" s="307"/>
      <c r="E48" s="84"/>
      <c r="F48" s="200">
        <v>112</v>
      </c>
      <c r="G48" s="200">
        <v>214</v>
      </c>
      <c r="H48" s="121">
        <f>'Табл. 4.3 платные (0902)'!H48</f>
        <v>0</v>
      </c>
      <c r="I48" s="121">
        <f>'Табл. 4.3 платные (0902)'!I48</f>
        <v>0</v>
      </c>
      <c r="J48" s="121">
        <f>'Табл. 4.3 платные (0902)'!J48</f>
        <v>0</v>
      </c>
      <c r="K48" s="121">
        <f>'Табл. 4.3 платные (0902)'!K48</f>
        <v>0</v>
      </c>
      <c r="L48" s="121">
        <f>'Табл. 4.3 платные (0902)'!L48</f>
        <v>0</v>
      </c>
      <c r="M48" s="121">
        <f>'Табл. 4.3 платные (0902)'!M48</f>
        <v>0</v>
      </c>
      <c r="N48" s="121">
        <f>'Табл. 4.3 платные (0902)'!N48</f>
        <v>0</v>
      </c>
      <c r="O48" s="121">
        <f>'Табл. 4.3 платные (0902)'!O48</f>
        <v>0</v>
      </c>
      <c r="P48" s="121">
        <f>'Табл. 4.3 платные (0902)'!P48</f>
        <v>0</v>
      </c>
      <c r="Q48" s="121">
        <f>'Табл. 4.3 платные (0902)'!Q48</f>
        <v>0</v>
      </c>
      <c r="R48" s="121">
        <f>'Табл. 4.3 платные (0902)'!R48</f>
        <v>0</v>
      </c>
      <c r="S48" s="121">
        <f>'Табл. 4.3 платные (0902)'!S48</f>
        <v>0</v>
      </c>
      <c r="T48" s="121">
        <f>'Табл. 4.3 платные (0902)'!T48</f>
        <v>0</v>
      </c>
      <c r="U48" s="121">
        <f>'Табл. 4.3 платные (0902)'!U48</f>
        <v>0</v>
      </c>
      <c r="V48" s="121">
        <f>'Табл. 4.3 платные (0902)'!V48</f>
        <v>0</v>
      </c>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row>
    <row r="49" spans="1:75" s="28" customFormat="1" ht="33" customHeight="1" x14ac:dyDescent="0.25">
      <c r="A49" s="319" t="s">
        <v>118</v>
      </c>
      <c r="B49" s="319"/>
      <c r="C49" s="319"/>
      <c r="D49" s="319"/>
      <c r="E49" s="84">
        <v>2120</v>
      </c>
      <c r="F49" s="200">
        <v>112</v>
      </c>
      <c r="G49" s="200">
        <v>226</v>
      </c>
      <c r="H49" s="121">
        <f>'Табл. 4.3 платные (0902)'!H49</f>
        <v>32500</v>
      </c>
      <c r="I49" s="121">
        <f>'Табл. 4.3 платные (0902)'!I49</f>
        <v>82500</v>
      </c>
      <c r="J49" s="121">
        <f>'Табл. 4.3 платные (0902)'!J49</f>
        <v>82500</v>
      </c>
      <c r="K49" s="121">
        <f>'Табл. 4.3 платные (0902)'!K49</f>
        <v>32500</v>
      </c>
      <c r="L49" s="121">
        <f>'Табл. 4.3 платные (0902)'!L49</f>
        <v>82500</v>
      </c>
      <c r="M49" s="121">
        <f>'Табл. 4.3 платные (0902)'!M49</f>
        <v>82500</v>
      </c>
      <c r="N49" s="121">
        <f>'Табл. 4.3 платные (0902)'!N49</f>
        <v>0</v>
      </c>
      <c r="O49" s="121">
        <f>'Табл. 4.3 платные (0902)'!O49</f>
        <v>0</v>
      </c>
      <c r="P49" s="121">
        <f>'Табл. 4.3 платные (0902)'!P49</f>
        <v>0</v>
      </c>
      <c r="Q49" s="121">
        <f>'Табл. 4.3 платные (0902)'!Q49</f>
        <v>0</v>
      </c>
      <c r="R49" s="121">
        <f>'Табл. 4.3 платные (0902)'!R49</f>
        <v>0</v>
      </c>
      <c r="S49" s="121">
        <f>'Табл. 4.3 платные (0902)'!S49</f>
        <v>0</v>
      </c>
      <c r="T49" s="121">
        <f>'Табл. 4.3 платные (0902)'!T49</f>
        <v>0</v>
      </c>
      <c r="U49" s="121">
        <f>'Табл. 4.3 платные (0902)'!U49</f>
        <v>0</v>
      </c>
      <c r="V49" s="121">
        <f>'Табл. 4.3 платные (0902)'!V49</f>
        <v>0</v>
      </c>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row>
    <row r="50" spans="1:75" s="28" customFormat="1" ht="27" customHeight="1" x14ac:dyDescent="0.25">
      <c r="A50" s="326" t="s">
        <v>300</v>
      </c>
      <c r="B50" s="327"/>
      <c r="C50" s="327"/>
      <c r="D50" s="328"/>
      <c r="E50" s="84"/>
      <c r="F50" s="200">
        <v>112</v>
      </c>
      <c r="G50" s="200">
        <v>266</v>
      </c>
      <c r="H50" s="121">
        <f>'Табл. 4.3 платные (0902)'!H50</f>
        <v>0</v>
      </c>
      <c r="I50" s="121">
        <f>'Табл. 4.3 платные (0902)'!I50</f>
        <v>0</v>
      </c>
      <c r="J50" s="121">
        <f>'Табл. 4.3 платные (0902)'!J50</f>
        <v>0</v>
      </c>
      <c r="K50" s="121">
        <f>'Табл. 4.3 платные (0902)'!K50</f>
        <v>0</v>
      </c>
      <c r="L50" s="121">
        <f>'Табл. 4.3 платные (0902)'!L50</f>
        <v>0</v>
      </c>
      <c r="M50" s="121">
        <f>'Табл. 4.3 платные (0902)'!M50</f>
        <v>0</v>
      </c>
      <c r="N50" s="121">
        <f>'Табл. 4.3 платные (0902)'!N50</f>
        <v>0</v>
      </c>
      <c r="O50" s="121">
        <f>'Табл. 4.3 платные (0902)'!O50</f>
        <v>0</v>
      </c>
      <c r="P50" s="121">
        <f>'Табл. 4.3 платные (0902)'!P50</f>
        <v>0</v>
      </c>
      <c r="Q50" s="121">
        <f>'Табл. 4.3 платные (0902)'!Q50</f>
        <v>0</v>
      </c>
      <c r="R50" s="121">
        <f>'Табл. 4.3 платные (0902)'!R50</f>
        <v>0</v>
      </c>
      <c r="S50" s="121">
        <f>'Табл. 4.3 платные (0902)'!S50</f>
        <v>0</v>
      </c>
      <c r="T50" s="121">
        <f>'Табл. 4.3 платные (0902)'!T50</f>
        <v>0</v>
      </c>
      <c r="U50" s="121">
        <f>'Табл. 4.3 платные (0902)'!U50</f>
        <v>0</v>
      </c>
      <c r="V50" s="121">
        <f>'Табл. 4.3 платные (0902)'!V50</f>
        <v>0</v>
      </c>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row>
    <row r="51" spans="1:75" s="28" customFormat="1" ht="33.75" customHeight="1" x14ac:dyDescent="0.25">
      <c r="A51" s="319" t="s">
        <v>119</v>
      </c>
      <c r="B51" s="319"/>
      <c r="C51" s="319"/>
      <c r="D51" s="319"/>
      <c r="E51" s="84">
        <v>2130</v>
      </c>
      <c r="F51" s="200">
        <v>113</v>
      </c>
      <c r="G51" s="200"/>
      <c r="H51" s="121">
        <f>'Табл. 4.3 платные (0902)'!H51</f>
        <v>0</v>
      </c>
      <c r="I51" s="121">
        <f>'Табл. 4.3 платные (0902)'!I51</f>
        <v>0</v>
      </c>
      <c r="J51" s="121">
        <f>'Табл. 4.3 платные (0902)'!J51</f>
        <v>0</v>
      </c>
      <c r="K51" s="121">
        <f>'Табл. 4.3 платные (0902)'!K51</f>
        <v>0</v>
      </c>
      <c r="L51" s="121">
        <f>'Табл. 4.3 платные (0902)'!L51</f>
        <v>0</v>
      </c>
      <c r="M51" s="121">
        <f>'Табл. 4.3 платные (0902)'!M51</f>
        <v>0</v>
      </c>
      <c r="N51" s="121">
        <f>'Табл. 4.3 платные (0902)'!N51</f>
        <v>0</v>
      </c>
      <c r="O51" s="121">
        <f>'Табл. 4.3 платные (0902)'!O51</f>
        <v>0</v>
      </c>
      <c r="P51" s="121">
        <f>'Табл. 4.3 платные (0902)'!P51</f>
        <v>0</v>
      </c>
      <c r="Q51" s="121">
        <f>'Табл. 4.3 платные (0902)'!Q51</f>
        <v>0</v>
      </c>
      <c r="R51" s="121">
        <f>'Табл. 4.3 платные (0902)'!R51</f>
        <v>0</v>
      </c>
      <c r="S51" s="121">
        <f>'Табл. 4.3 платные (0902)'!S51</f>
        <v>0</v>
      </c>
      <c r="T51" s="121">
        <f>'Табл. 4.3 платные (0902)'!T51</f>
        <v>0</v>
      </c>
      <c r="U51" s="121">
        <f>'Табл. 4.3 платные (0902)'!U51</f>
        <v>0</v>
      </c>
      <c r="V51" s="121">
        <f>'Табл. 4.3 платные (0902)'!V51</f>
        <v>0</v>
      </c>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row>
    <row r="52" spans="1:75" s="28" customFormat="1" ht="50.25" customHeight="1" x14ac:dyDescent="0.25">
      <c r="A52" s="319" t="s">
        <v>120</v>
      </c>
      <c r="B52" s="319"/>
      <c r="C52" s="319"/>
      <c r="D52" s="319"/>
      <c r="E52" s="84">
        <v>2140</v>
      </c>
      <c r="F52" s="200">
        <v>119</v>
      </c>
      <c r="G52" s="200"/>
      <c r="H52" s="121">
        <f>'Табл. 4.3 платные (0902)'!H52</f>
        <v>1195652.4099999999</v>
      </c>
      <c r="I52" s="121">
        <f>'Табл. 4.3 платные (0902)'!I52</f>
        <v>1339873</v>
      </c>
      <c r="J52" s="121">
        <f>'Табл. 4.3 платные (0902)'!J52</f>
        <v>1448449</v>
      </c>
      <c r="K52" s="121">
        <f>'Табл. 4.3 платные (0902)'!K52</f>
        <v>1133742.4099999999</v>
      </c>
      <c r="L52" s="121">
        <f>'Табл. 4.3 платные (0902)'!L52</f>
        <v>1277963</v>
      </c>
      <c r="M52" s="121">
        <f>'Табл. 4.3 платные (0902)'!M52</f>
        <v>1386539</v>
      </c>
      <c r="N52" s="121">
        <f>'Табл. 4.3 платные (0902)'!N52</f>
        <v>61910</v>
      </c>
      <c r="O52" s="121">
        <f>'Табл. 4.3 платные (0902)'!O52</f>
        <v>61910</v>
      </c>
      <c r="P52" s="121">
        <f>'Табл. 4.3 платные (0902)'!P52</f>
        <v>61910</v>
      </c>
      <c r="Q52" s="121">
        <f>'Табл. 4.3 платные (0902)'!Q52</f>
        <v>0</v>
      </c>
      <c r="R52" s="121">
        <f>'Табл. 4.3 платные (0902)'!R52</f>
        <v>0</v>
      </c>
      <c r="S52" s="121">
        <f>'Табл. 4.3 платные (0902)'!S52</f>
        <v>0</v>
      </c>
      <c r="T52" s="121">
        <f>'Табл. 4.3 платные (0902)'!T52</f>
        <v>0</v>
      </c>
      <c r="U52" s="121">
        <f>'Табл. 4.3 платные (0902)'!U52</f>
        <v>0</v>
      </c>
      <c r="V52" s="121">
        <f>'Табл. 4.3 платные (0902)'!V52</f>
        <v>0</v>
      </c>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row>
    <row r="53" spans="1:75" s="28" customFormat="1" ht="22.5" customHeight="1" x14ac:dyDescent="0.25">
      <c r="A53" s="319" t="s">
        <v>121</v>
      </c>
      <c r="B53" s="319"/>
      <c r="C53" s="319"/>
      <c r="D53" s="319"/>
      <c r="E53" s="84">
        <v>2141</v>
      </c>
      <c r="F53" s="200">
        <v>119</v>
      </c>
      <c r="G53" s="200">
        <v>213</v>
      </c>
      <c r="H53" s="121">
        <f>'Табл. 4.3 платные (0902)'!H53</f>
        <v>1195652.4099999999</v>
      </c>
      <c r="I53" s="121">
        <f>'Табл. 4.3 платные (0902)'!I53</f>
        <v>1339873</v>
      </c>
      <c r="J53" s="121">
        <f>'Табл. 4.3 платные (0902)'!J53</f>
        <v>1448449</v>
      </c>
      <c r="K53" s="121">
        <f>'Табл. 4.3 платные (0902)'!K53</f>
        <v>1133742.4099999999</v>
      </c>
      <c r="L53" s="121">
        <f>'Табл. 4.3 платные (0902)'!L53</f>
        <v>1277963</v>
      </c>
      <c r="M53" s="121">
        <f>'Табл. 4.3 платные (0902)'!M53</f>
        <v>1386539</v>
      </c>
      <c r="N53" s="121">
        <f>'Табл. 4.3 платные (0902)'!N53</f>
        <v>61910</v>
      </c>
      <c r="O53" s="121">
        <f>'Табл. 4.3 платные (0902)'!O53</f>
        <v>61910</v>
      </c>
      <c r="P53" s="121">
        <f>'Табл. 4.3 платные (0902)'!P53</f>
        <v>61910</v>
      </c>
      <c r="Q53" s="121">
        <f>'Табл. 4.3 платные (0902)'!Q53</f>
        <v>0</v>
      </c>
      <c r="R53" s="121">
        <f>'Табл. 4.3 платные (0902)'!R53</f>
        <v>0</v>
      </c>
      <c r="S53" s="121">
        <f>'Табл. 4.3 платные (0902)'!S53</f>
        <v>0</v>
      </c>
      <c r="T53" s="121">
        <f>'Табл. 4.3 платные (0902)'!T53</f>
        <v>0</v>
      </c>
      <c r="U53" s="121">
        <f>'Табл. 4.3 платные (0902)'!U53</f>
        <v>0</v>
      </c>
      <c r="V53" s="121">
        <f>'Табл. 4.3 платные (0902)'!V53</f>
        <v>0</v>
      </c>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row>
    <row r="54" spans="1:75" s="28" customFormat="1" ht="15.75" customHeight="1" x14ac:dyDescent="0.25">
      <c r="A54" s="319" t="s">
        <v>122</v>
      </c>
      <c r="B54" s="319"/>
      <c r="C54" s="319"/>
      <c r="D54" s="319"/>
      <c r="E54" s="84">
        <v>2142</v>
      </c>
      <c r="F54" s="200">
        <v>119</v>
      </c>
      <c r="G54" s="200"/>
      <c r="H54" s="121">
        <f>'Табл. 4.3 платные (0902)'!H54</f>
        <v>0</v>
      </c>
      <c r="I54" s="121">
        <f>'Табл. 4.3 платные (0902)'!I54</f>
        <v>0</v>
      </c>
      <c r="J54" s="121">
        <f>'Табл. 4.3 платные (0902)'!J54</f>
        <v>0</v>
      </c>
      <c r="K54" s="121">
        <f>'Табл. 4.3 платные (0902)'!K54</f>
        <v>0</v>
      </c>
      <c r="L54" s="121">
        <f>'Табл. 4.3 платные (0902)'!L54</f>
        <v>0</v>
      </c>
      <c r="M54" s="121">
        <f>'Табл. 4.3 платные (0902)'!M54</f>
        <v>0</v>
      </c>
      <c r="N54" s="121">
        <f>'Табл. 4.3 платные (0902)'!N54</f>
        <v>0</v>
      </c>
      <c r="O54" s="121">
        <f>'Табл. 4.3 платные (0902)'!O54</f>
        <v>0</v>
      </c>
      <c r="P54" s="121">
        <f>'Табл. 4.3 платные (0902)'!P54</f>
        <v>0</v>
      </c>
      <c r="Q54" s="121">
        <f>'Табл. 4.3 платные (0902)'!Q54</f>
        <v>0</v>
      </c>
      <c r="R54" s="121">
        <f>'Табл. 4.3 платные (0902)'!R54</f>
        <v>0</v>
      </c>
      <c r="S54" s="121">
        <f>'Табл. 4.3 платные (0902)'!S54</f>
        <v>0</v>
      </c>
      <c r="T54" s="121">
        <f>'Табл. 4.3 платные (0902)'!T54</f>
        <v>0</v>
      </c>
      <c r="U54" s="121">
        <f>'Табл. 4.3 платные (0902)'!U54</f>
        <v>0</v>
      </c>
      <c r="V54" s="121">
        <f>'Табл. 4.3 платные (0902)'!V54</f>
        <v>0</v>
      </c>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row>
    <row r="55" spans="1:75" s="28" customFormat="1" ht="18.75" customHeight="1" x14ac:dyDescent="0.25">
      <c r="A55" s="319" t="s">
        <v>123</v>
      </c>
      <c r="B55" s="319"/>
      <c r="C55" s="319"/>
      <c r="D55" s="319"/>
      <c r="E55" s="84">
        <v>2200</v>
      </c>
      <c r="F55" s="200">
        <v>300</v>
      </c>
      <c r="G55" s="200"/>
      <c r="H55" s="229">
        <f>'Табл. 4.3 платные (0902)'!H55</f>
        <v>140837.69</v>
      </c>
      <c r="I55" s="121">
        <f>'Табл. 4.3 платные (0902)'!I55</f>
        <v>48090</v>
      </c>
      <c r="J55" s="121">
        <f>'Табл. 4.3 платные (0902)'!J55</f>
        <v>48090</v>
      </c>
      <c r="K55" s="121">
        <f>'Табл. 4.3 платные (0902)'!K55</f>
        <v>0</v>
      </c>
      <c r="L55" s="121">
        <f>'Табл. 4.3 платные (0902)'!L55</f>
        <v>0</v>
      </c>
      <c r="M55" s="121">
        <f>'Табл. 4.3 платные (0902)'!M55</f>
        <v>0</v>
      </c>
      <c r="N55" s="121">
        <f>'Табл. 4.3 платные (0902)'!N55</f>
        <v>140837.69</v>
      </c>
      <c r="O55" s="121">
        <f>'Табл. 4.3 платные (0902)'!O55</f>
        <v>48090</v>
      </c>
      <c r="P55" s="121">
        <f>'Табл. 4.3 платные (0902)'!P55</f>
        <v>48090</v>
      </c>
      <c r="Q55" s="121">
        <f>'Табл. 4.3 платные (0902)'!Q55</f>
        <v>0</v>
      </c>
      <c r="R55" s="121">
        <f>'Табл. 4.3 платные (0902)'!R55</f>
        <v>0</v>
      </c>
      <c r="S55" s="121">
        <f>'Табл. 4.3 платные (0902)'!S55</f>
        <v>0</v>
      </c>
      <c r="T55" s="121">
        <f>'Табл. 4.3 платные (0902)'!T55</f>
        <v>0</v>
      </c>
      <c r="U55" s="121">
        <f>'Табл. 4.3 платные (0902)'!U55</f>
        <v>0</v>
      </c>
      <c r="V55" s="121">
        <f>'Табл. 4.3 платные (0902)'!V55</f>
        <v>0</v>
      </c>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row>
    <row r="56" spans="1:75" s="28" customFormat="1" ht="21.75" customHeight="1" x14ac:dyDescent="0.25">
      <c r="A56" s="319" t="s">
        <v>124</v>
      </c>
      <c r="B56" s="319"/>
      <c r="C56" s="319"/>
      <c r="D56" s="319"/>
      <c r="E56" s="84">
        <v>2210</v>
      </c>
      <c r="F56" s="200">
        <v>320</v>
      </c>
      <c r="G56" s="200"/>
      <c r="H56" s="121">
        <f>'Табл. 4.3 платные (0902)'!H56</f>
        <v>140837.69</v>
      </c>
      <c r="I56" s="121">
        <f>'Табл. 4.3 платные (0902)'!I56</f>
        <v>48090</v>
      </c>
      <c r="J56" s="121">
        <f>'Табл. 4.3 платные (0902)'!J56</f>
        <v>48090</v>
      </c>
      <c r="K56" s="121">
        <f>'Табл. 4.3 платные (0902)'!K56</f>
        <v>0</v>
      </c>
      <c r="L56" s="121">
        <f>'Табл. 4.3 платные (0902)'!L56</f>
        <v>0</v>
      </c>
      <c r="M56" s="121">
        <f>'Табл. 4.3 платные (0902)'!M56</f>
        <v>0</v>
      </c>
      <c r="N56" s="121">
        <f>'Табл. 4.3 платные (0902)'!N56</f>
        <v>140837.69</v>
      </c>
      <c r="O56" s="121">
        <f>'Табл. 4.3 платные (0902)'!O56</f>
        <v>48090</v>
      </c>
      <c r="P56" s="121">
        <f>'Табл. 4.3 платные (0902)'!P56</f>
        <v>48090</v>
      </c>
      <c r="Q56" s="121">
        <f>'Табл. 4.3 платные (0902)'!Q56</f>
        <v>0</v>
      </c>
      <c r="R56" s="121">
        <f>'Табл. 4.3 платные (0902)'!R56</f>
        <v>0</v>
      </c>
      <c r="S56" s="121">
        <f>'Табл. 4.3 платные (0902)'!S56</f>
        <v>0</v>
      </c>
      <c r="T56" s="121">
        <f>'Табл. 4.3 платные (0902)'!T56</f>
        <v>0</v>
      </c>
      <c r="U56" s="121">
        <f>'Табл. 4.3 платные (0902)'!U56</f>
        <v>0</v>
      </c>
      <c r="V56" s="121">
        <f>'Табл. 4.3 платные (0902)'!V56</f>
        <v>0</v>
      </c>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row>
    <row r="57" spans="1:75" s="28" customFormat="1" ht="33.75" customHeight="1" x14ac:dyDescent="0.25">
      <c r="A57" s="319" t="s">
        <v>125</v>
      </c>
      <c r="B57" s="319"/>
      <c r="C57" s="319"/>
      <c r="D57" s="319"/>
      <c r="E57" s="84">
        <v>2211</v>
      </c>
      <c r="F57" s="200">
        <v>321</v>
      </c>
      <c r="G57" s="200"/>
      <c r="H57" s="121">
        <f>'Табл. 4.3 платные (0902)'!H57</f>
        <v>0</v>
      </c>
      <c r="I57" s="121">
        <f>'Табл. 4.3 платные (0902)'!I57</f>
        <v>0</v>
      </c>
      <c r="J57" s="121">
        <f>'Табл. 4.3 платные (0902)'!J57</f>
        <v>0</v>
      </c>
      <c r="K57" s="121">
        <f>'Табл. 4.3 платные (0902)'!K57</f>
        <v>0</v>
      </c>
      <c r="L57" s="121">
        <f>'Табл. 4.3 платные (0902)'!L57</f>
        <v>0</v>
      </c>
      <c r="M57" s="121">
        <f>'Табл. 4.3 платные (0902)'!M57</f>
        <v>0</v>
      </c>
      <c r="N57" s="121">
        <f>'Табл. 4.3 платные (0902)'!N57</f>
        <v>0</v>
      </c>
      <c r="O57" s="121">
        <f>'Табл. 4.3 платные (0902)'!O57</f>
        <v>0</v>
      </c>
      <c r="P57" s="121">
        <f>'Табл. 4.3 платные (0902)'!P57</f>
        <v>0</v>
      </c>
      <c r="Q57" s="121">
        <f>'Табл. 4.3 платные (0902)'!Q57</f>
        <v>0</v>
      </c>
      <c r="R57" s="121">
        <f>'Табл. 4.3 платные (0902)'!R57</f>
        <v>0</v>
      </c>
      <c r="S57" s="121">
        <f>'Табл. 4.3 платные (0902)'!S57</f>
        <v>0</v>
      </c>
      <c r="T57" s="121">
        <f>'Табл. 4.3 платные (0902)'!T57</f>
        <v>0</v>
      </c>
      <c r="U57" s="121">
        <f>'Табл. 4.3 платные (0902)'!U57</f>
        <v>0</v>
      </c>
      <c r="V57" s="121">
        <f>'Табл. 4.3 платные (0902)'!V57</f>
        <v>0</v>
      </c>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1:75" s="28" customFormat="1" ht="24" customHeight="1" x14ac:dyDescent="0.25">
      <c r="A58" s="319" t="s">
        <v>319</v>
      </c>
      <c r="B58" s="319"/>
      <c r="C58" s="319"/>
      <c r="D58" s="319"/>
      <c r="E58" s="84">
        <v>2212</v>
      </c>
      <c r="F58" s="200">
        <v>323</v>
      </c>
      <c r="G58" s="200">
        <v>263</v>
      </c>
      <c r="H58" s="121">
        <f>'Табл. 4.3 платные (0902)'!H58</f>
        <v>140837.69</v>
      </c>
      <c r="I58" s="121">
        <f>'Табл. 4.3 платные (0902)'!I58</f>
        <v>48090</v>
      </c>
      <c r="J58" s="121">
        <f>'Табл. 4.3 платные (0902)'!J58</f>
        <v>48090</v>
      </c>
      <c r="K58" s="121">
        <f>'Табл. 4.3 платные (0902)'!K58</f>
        <v>0</v>
      </c>
      <c r="L58" s="121">
        <f>'Табл. 4.3 платные (0902)'!L58</f>
        <v>0</v>
      </c>
      <c r="M58" s="121">
        <f>'Табл. 4.3 платные (0902)'!M58</f>
        <v>0</v>
      </c>
      <c r="N58" s="121">
        <f>'Табл. 4.3 платные (0902)'!N58</f>
        <v>140837.69</v>
      </c>
      <c r="O58" s="121">
        <f>'Табл. 4.3 платные (0902)'!O58</f>
        <v>48090</v>
      </c>
      <c r="P58" s="121">
        <f>'Табл. 4.3 платные (0902)'!P58</f>
        <v>48090</v>
      </c>
      <c r="Q58" s="121">
        <f>'Табл. 4.3 платные (0902)'!Q58</f>
        <v>0</v>
      </c>
      <c r="R58" s="121">
        <f>'Табл. 4.3 платные (0902)'!R58</f>
        <v>0</v>
      </c>
      <c r="S58" s="121">
        <f>'Табл. 4.3 платные (0902)'!S58</f>
        <v>0</v>
      </c>
      <c r="T58" s="121">
        <f>'Табл. 4.3 платные (0902)'!T58</f>
        <v>0</v>
      </c>
      <c r="U58" s="121">
        <f>'Табл. 4.3 платные (0902)'!U58</f>
        <v>0</v>
      </c>
      <c r="V58" s="121">
        <f>'Табл. 4.3 платные (0902)'!V58</f>
        <v>0</v>
      </c>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row>
    <row r="59" spans="1:75" s="28" customFormat="1" ht="54.75" customHeight="1" x14ac:dyDescent="0.25">
      <c r="A59" s="319" t="s">
        <v>126</v>
      </c>
      <c r="B59" s="319"/>
      <c r="C59" s="319"/>
      <c r="D59" s="319"/>
      <c r="E59" s="84">
        <v>2220</v>
      </c>
      <c r="F59" s="200">
        <v>340</v>
      </c>
      <c r="G59" s="200"/>
      <c r="H59" s="121">
        <f>'Табл. 4.3 платные (0902)'!H59</f>
        <v>0</v>
      </c>
      <c r="I59" s="121">
        <f>'Табл. 4.3 платные (0902)'!I59</f>
        <v>0</v>
      </c>
      <c r="J59" s="121">
        <f>'Табл. 4.3 платные (0902)'!J59</f>
        <v>0</v>
      </c>
      <c r="K59" s="121">
        <f>'Табл. 4.3 платные (0902)'!K59</f>
        <v>0</v>
      </c>
      <c r="L59" s="121">
        <f>'Табл. 4.3 платные (0902)'!L59</f>
        <v>0</v>
      </c>
      <c r="M59" s="121">
        <f>'Табл. 4.3 платные (0902)'!M59</f>
        <v>0</v>
      </c>
      <c r="N59" s="121">
        <f>'Табл. 4.3 платные (0902)'!N59</f>
        <v>0</v>
      </c>
      <c r="O59" s="121">
        <f>'Табл. 4.3 платные (0902)'!O59</f>
        <v>0</v>
      </c>
      <c r="P59" s="121">
        <f>'Табл. 4.3 платные (0902)'!P59</f>
        <v>0</v>
      </c>
      <c r="Q59" s="121">
        <f>'Табл. 4.3 платные (0902)'!Q59</f>
        <v>0</v>
      </c>
      <c r="R59" s="121">
        <f>'Табл. 4.3 платные (0902)'!R59</f>
        <v>0</v>
      </c>
      <c r="S59" s="121">
        <f>'Табл. 4.3 платные (0902)'!S59</f>
        <v>0</v>
      </c>
      <c r="T59" s="121">
        <f>'Табл. 4.3 платные (0902)'!T59</f>
        <v>0</v>
      </c>
      <c r="U59" s="121">
        <f>'Табл. 4.3 платные (0902)'!U59</f>
        <v>0</v>
      </c>
      <c r="V59" s="121">
        <f>'Табл. 4.3 платные (0902)'!V59</f>
        <v>0</v>
      </c>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row>
    <row r="60" spans="1:75" s="28" customFormat="1" ht="66.75" customHeight="1" x14ac:dyDescent="0.25">
      <c r="A60" s="319" t="s">
        <v>127</v>
      </c>
      <c r="B60" s="319"/>
      <c r="C60" s="319"/>
      <c r="D60" s="319"/>
      <c r="E60" s="84">
        <v>2230</v>
      </c>
      <c r="F60" s="200">
        <v>350</v>
      </c>
      <c r="G60" s="200"/>
      <c r="H60" s="121">
        <f>'Табл. 4.3 платные (0902)'!H60</f>
        <v>0</v>
      </c>
      <c r="I60" s="121">
        <f>'Табл. 4.3 платные (0902)'!I60</f>
        <v>0</v>
      </c>
      <c r="J60" s="121">
        <f>'Табл. 4.3 платные (0902)'!J60</f>
        <v>0</v>
      </c>
      <c r="K60" s="121">
        <f>'Табл. 4.3 платные (0902)'!K60</f>
        <v>0</v>
      </c>
      <c r="L60" s="121">
        <f>'Табл. 4.3 платные (0902)'!L60</f>
        <v>0</v>
      </c>
      <c r="M60" s="121">
        <f>'Табл. 4.3 платные (0902)'!M60</f>
        <v>0</v>
      </c>
      <c r="N60" s="121">
        <f>'Табл. 4.3 платные (0902)'!N60</f>
        <v>0</v>
      </c>
      <c r="O60" s="121">
        <f>'Табл. 4.3 платные (0902)'!O60</f>
        <v>0</v>
      </c>
      <c r="P60" s="121">
        <f>'Табл. 4.3 платные (0902)'!P60</f>
        <v>0</v>
      </c>
      <c r="Q60" s="121">
        <f>'Табл. 4.3 платные (0902)'!Q60</f>
        <v>0</v>
      </c>
      <c r="R60" s="121">
        <f>'Табл. 4.3 платные (0902)'!R60</f>
        <v>0</v>
      </c>
      <c r="S60" s="121">
        <f>'Табл. 4.3 платные (0902)'!S60</f>
        <v>0</v>
      </c>
      <c r="T60" s="121">
        <f>'Табл. 4.3 платные (0902)'!T60</f>
        <v>0</v>
      </c>
      <c r="U60" s="121">
        <f>'Табл. 4.3 платные (0902)'!U60</f>
        <v>0</v>
      </c>
      <c r="V60" s="121">
        <f>'Табл. 4.3 платные (0902)'!V60</f>
        <v>0</v>
      </c>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row>
    <row r="61" spans="1:75" s="28" customFormat="1" ht="26.25" customHeight="1" x14ac:dyDescent="0.25">
      <c r="A61" s="319" t="s">
        <v>406</v>
      </c>
      <c r="B61" s="319"/>
      <c r="C61" s="319"/>
      <c r="D61" s="319"/>
      <c r="E61" s="84">
        <v>2240</v>
      </c>
      <c r="F61" s="200">
        <v>360</v>
      </c>
      <c r="G61" s="200"/>
      <c r="H61" s="121">
        <f>'Табл. 4.3 платные (0902)'!H61</f>
        <v>0</v>
      </c>
      <c r="I61" s="121">
        <f>'Табл. 4.3 платные (0902)'!I61</f>
        <v>0</v>
      </c>
      <c r="J61" s="121">
        <f>'Табл. 4.3 платные (0902)'!J61</f>
        <v>0</v>
      </c>
      <c r="K61" s="121">
        <f>'Табл. 4.3 платные (0902)'!K61</f>
        <v>0</v>
      </c>
      <c r="L61" s="121">
        <f>'Табл. 4.3 платные (0902)'!L61</f>
        <v>0</v>
      </c>
      <c r="M61" s="121">
        <f>'Табл. 4.3 платные (0902)'!M61</f>
        <v>0</v>
      </c>
      <c r="N61" s="121">
        <f>'Табл. 4.3 платные (0902)'!N61</f>
        <v>0</v>
      </c>
      <c r="O61" s="121">
        <f>'Табл. 4.3 платные (0902)'!O61</f>
        <v>0</v>
      </c>
      <c r="P61" s="121">
        <f>'Табл. 4.3 платные (0902)'!P61</f>
        <v>0</v>
      </c>
      <c r="Q61" s="121">
        <f>'Табл. 4.3 платные (0902)'!Q61</f>
        <v>0</v>
      </c>
      <c r="R61" s="121">
        <f>'Табл. 4.3 платные (0902)'!R61</f>
        <v>0</v>
      </c>
      <c r="S61" s="121">
        <f>'Табл. 4.3 платные (0902)'!S61</f>
        <v>0</v>
      </c>
      <c r="T61" s="121">
        <f>'Табл. 4.3 платные (0902)'!T61</f>
        <v>0</v>
      </c>
      <c r="U61" s="121">
        <f>'Табл. 4.3 платные (0902)'!U61</f>
        <v>0</v>
      </c>
      <c r="V61" s="121">
        <f>'Табл. 4.3 платные (0902)'!V61</f>
        <v>0</v>
      </c>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row>
    <row r="62" spans="1:75" s="28" customFormat="1" ht="19.5" customHeight="1" x14ac:dyDescent="0.25">
      <c r="A62" s="319" t="s">
        <v>129</v>
      </c>
      <c r="B62" s="319"/>
      <c r="C62" s="319"/>
      <c r="D62" s="319"/>
      <c r="E62" s="84">
        <v>2300</v>
      </c>
      <c r="F62" s="200">
        <v>850</v>
      </c>
      <c r="G62" s="200"/>
      <c r="H62" s="121">
        <f>'Табл. 4.3 платные (0902)'!H62</f>
        <v>260794.91</v>
      </c>
      <c r="I62" s="121">
        <f>'Табл. 4.3 платные (0902)'!I62</f>
        <v>360821</v>
      </c>
      <c r="J62" s="121">
        <f>'Табл. 4.3 платные (0902)'!J62</f>
        <v>360821</v>
      </c>
      <c r="K62" s="121">
        <f>'Табл. 4.3 платные (0902)'!K62</f>
        <v>260794.91</v>
      </c>
      <c r="L62" s="121">
        <f>'Табл. 4.3 платные (0902)'!L62</f>
        <v>360821</v>
      </c>
      <c r="M62" s="121">
        <f>'Табл. 4.3 платные (0902)'!M62</f>
        <v>360821</v>
      </c>
      <c r="N62" s="121">
        <f>'Табл. 4.3 платные (0902)'!N62</f>
        <v>0</v>
      </c>
      <c r="O62" s="121">
        <f>'Табл. 4.3 платные (0902)'!O62</f>
        <v>0</v>
      </c>
      <c r="P62" s="121">
        <f>'Табл. 4.3 платные (0902)'!P62</f>
        <v>0</v>
      </c>
      <c r="Q62" s="121">
        <f>'Табл. 4.3 платные (0902)'!Q62</f>
        <v>0</v>
      </c>
      <c r="R62" s="121">
        <f>'Табл. 4.3 платные (0902)'!R62</f>
        <v>0</v>
      </c>
      <c r="S62" s="121">
        <f>'Табл. 4.3 платные (0902)'!S62</f>
        <v>0</v>
      </c>
      <c r="T62" s="121">
        <f>'Табл. 4.3 платные (0902)'!T62</f>
        <v>0</v>
      </c>
      <c r="U62" s="121">
        <f>'Табл. 4.3 платные (0902)'!U62</f>
        <v>0</v>
      </c>
      <c r="V62" s="121">
        <f>'Табл. 4.3 платные (0902)'!V62</f>
        <v>0</v>
      </c>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row>
    <row r="63" spans="1:75" s="28" customFormat="1" ht="32.25" customHeight="1" x14ac:dyDescent="0.25">
      <c r="A63" s="319" t="s">
        <v>130</v>
      </c>
      <c r="B63" s="319"/>
      <c r="C63" s="319"/>
      <c r="D63" s="319"/>
      <c r="E63" s="84">
        <v>2310</v>
      </c>
      <c r="F63" s="200">
        <v>851</v>
      </c>
      <c r="G63" s="200">
        <v>291</v>
      </c>
      <c r="H63" s="121">
        <f>'Табл. 4.3 платные (0902)'!H63</f>
        <v>40821</v>
      </c>
      <c r="I63" s="121">
        <f>'Табл. 4.3 платные (0902)'!I63</f>
        <v>40821</v>
      </c>
      <c r="J63" s="121">
        <f>'Табл. 4.3 платные (0902)'!J63</f>
        <v>40821</v>
      </c>
      <c r="K63" s="121">
        <f>'Табл. 4.3 платные (0902)'!K63</f>
        <v>40821</v>
      </c>
      <c r="L63" s="121">
        <f>'Табл. 4.3 платные (0902)'!L63</f>
        <v>40821</v>
      </c>
      <c r="M63" s="121">
        <f>'Табл. 4.3 платные (0902)'!M63</f>
        <v>40821</v>
      </c>
      <c r="N63" s="121">
        <f>'Табл. 4.3 платные (0902)'!N63</f>
        <v>0</v>
      </c>
      <c r="O63" s="121">
        <f>'Табл. 4.3 платные (0902)'!O63</f>
        <v>0</v>
      </c>
      <c r="P63" s="121">
        <f>'Табл. 4.3 платные (0902)'!P63</f>
        <v>0</v>
      </c>
      <c r="Q63" s="121">
        <f>'Табл. 4.3 платные (0902)'!Q63</f>
        <v>0</v>
      </c>
      <c r="R63" s="121">
        <f>'Табл. 4.3 платные (0902)'!R63</f>
        <v>0</v>
      </c>
      <c r="S63" s="121">
        <f>'Табл. 4.3 платные (0902)'!S63</f>
        <v>0</v>
      </c>
      <c r="T63" s="121">
        <f>'Табл. 4.3 платные (0902)'!T63</f>
        <v>0</v>
      </c>
      <c r="U63" s="121">
        <f>'Табл. 4.3 платные (0902)'!U63</f>
        <v>0</v>
      </c>
      <c r="V63" s="121">
        <f>'Табл. 4.3 платные (0902)'!V63</f>
        <v>0</v>
      </c>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75" s="28" customFormat="1" ht="42" customHeight="1" x14ac:dyDescent="0.25">
      <c r="A64" s="319" t="s">
        <v>131</v>
      </c>
      <c r="B64" s="319"/>
      <c r="C64" s="319"/>
      <c r="D64" s="319"/>
      <c r="E64" s="84">
        <v>2320</v>
      </c>
      <c r="F64" s="200">
        <v>852</v>
      </c>
      <c r="G64" s="200">
        <v>291</v>
      </c>
      <c r="H64" s="121">
        <f>'Табл. 4.3 платные (0902)'!H64</f>
        <v>22000</v>
      </c>
      <c r="I64" s="121">
        <f>'Табл. 4.3 платные (0902)'!I64</f>
        <v>20000</v>
      </c>
      <c r="J64" s="121">
        <f>'Табл. 4.3 платные (0902)'!J64</f>
        <v>20000</v>
      </c>
      <c r="K64" s="121">
        <f>'Табл. 4.3 платные (0902)'!K64</f>
        <v>22000</v>
      </c>
      <c r="L64" s="121">
        <f>'Табл. 4.3 платные (0902)'!L64</f>
        <v>20000</v>
      </c>
      <c r="M64" s="121">
        <f>'Табл. 4.3 платные (0902)'!M64</f>
        <v>20000</v>
      </c>
      <c r="N64" s="121">
        <f>'Табл. 4.3 платные (0902)'!N64</f>
        <v>0</v>
      </c>
      <c r="O64" s="121">
        <f>'Табл. 4.3 платные (0902)'!O64</f>
        <v>0</v>
      </c>
      <c r="P64" s="121">
        <f>'Табл. 4.3 платные (0902)'!P64</f>
        <v>0</v>
      </c>
      <c r="Q64" s="121">
        <f>'Табл. 4.3 платные (0902)'!Q64</f>
        <v>0</v>
      </c>
      <c r="R64" s="121">
        <f>'Табл. 4.3 платные (0902)'!R64</f>
        <v>0</v>
      </c>
      <c r="S64" s="121">
        <f>'Табл. 4.3 платные (0902)'!S64</f>
        <v>0</v>
      </c>
      <c r="T64" s="121">
        <f>'Табл. 4.3 платные (0902)'!T64</f>
        <v>0</v>
      </c>
      <c r="U64" s="121">
        <f>'Табл. 4.3 платные (0902)'!U64</f>
        <v>0</v>
      </c>
      <c r="V64" s="121">
        <f>'Табл. 4.3 платные (0902)'!V64</f>
        <v>0</v>
      </c>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row>
    <row r="65" spans="1:75" s="28" customFormat="1" ht="31.5" customHeight="1" x14ac:dyDescent="0.25">
      <c r="A65" s="319" t="s">
        <v>132</v>
      </c>
      <c r="B65" s="319"/>
      <c r="C65" s="319"/>
      <c r="D65" s="319"/>
      <c r="E65" s="84">
        <v>2330</v>
      </c>
      <c r="F65" s="200">
        <v>853</v>
      </c>
      <c r="G65" s="200">
        <v>292</v>
      </c>
      <c r="H65" s="121">
        <f>'Табл. 4.3 платные (0902)'!H65</f>
        <v>65000</v>
      </c>
      <c r="I65" s="121">
        <f>'Табл. 4.3 платные (0902)'!I65</f>
        <v>100000</v>
      </c>
      <c r="J65" s="121">
        <f>'Табл. 4.3 платные (0902)'!J65</f>
        <v>100000</v>
      </c>
      <c r="K65" s="121">
        <f>'Табл. 4.3 платные (0902)'!K65</f>
        <v>65000</v>
      </c>
      <c r="L65" s="121">
        <f>'Табл. 4.3 платные (0902)'!L65</f>
        <v>100000</v>
      </c>
      <c r="M65" s="121">
        <f>'Табл. 4.3 платные (0902)'!M65</f>
        <v>100000</v>
      </c>
      <c r="N65" s="121">
        <f>'Табл. 4.3 платные (0902)'!N65</f>
        <v>0</v>
      </c>
      <c r="O65" s="121">
        <f>'Табл. 4.3 платные (0902)'!O65</f>
        <v>0</v>
      </c>
      <c r="P65" s="121">
        <f>'Табл. 4.3 платные (0902)'!P65</f>
        <v>0</v>
      </c>
      <c r="Q65" s="121">
        <f>'Табл. 4.3 платные (0902)'!Q65</f>
        <v>0</v>
      </c>
      <c r="R65" s="121">
        <f>'Табл. 4.3 платные (0902)'!R65</f>
        <v>0</v>
      </c>
      <c r="S65" s="121">
        <f>'Табл. 4.3 платные (0902)'!S65</f>
        <v>0</v>
      </c>
      <c r="T65" s="121">
        <f>'Табл. 4.3 платные (0902)'!T65</f>
        <v>0</v>
      </c>
      <c r="U65" s="121">
        <f>'Табл. 4.3 платные (0902)'!U65</f>
        <v>0</v>
      </c>
      <c r="V65" s="121">
        <f>'Табл. 4.3 платные (0902)'!V65</f>
        <v>0</v>
      </c>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row>
    <row r="66" spans="1:75" s="28" customFormat="1" ht="31.5" customHeight="1" x14ac:dyDescent="0.25">
      <c r="A66" s="326" t="s">
        <v>308</v>
      </c>
      <c r="B66" s="327"/>
      <c r="C66" s="327"/>
      <c r="D66" s="328"/>
      <c r="E66" s="84">
        <v>2340</v>
      </c>
      <c r="F66" s="200">
        <v>853</v>
      </c>
      <c r="G66" s="200">
        <v>293</v>
      </c>
      <c r="H66" s="121">
        <f>'Табл. 4.3 платные (0902)'!H66</f>
        <v>30000</v>
      </c>
      <c r="I66" s="121">
        <f>'Табл. 4.3 платные (0902)'!I66</f>
        <v>50000</v>
      </c>
      <c r="J66" s="121">
        <f>'Табл. 4.3 платные (0902)'!J66</f>
        <v>50000</v>
      </c>
      <c r="K66" s="121">
        <f>'Табл. 4.3 платные (0902)'!K66</f>
        <v>30000</v>
      </c>
      <c r="L66" s="121">
        <f>'Табл. 4.3 платные (0902)'!L66</f>
        <v>50000</v>
      </c>
      <c r="M66" s="121">
        <f>'Табл. 4.3 платные (0902)'!M66</f>
        <v>50000</v>
      </c>
      <c r="N66" s="121">
        <f>'Табл. 4.3 платные (0902)'!N66</f>
        <v>0</v>
      </c>
      <c r="O66" s="121">
        <f>'Табл. 4.3 платные (0902)'!O66</f>
        <v>0</v>
      </c>
      <c r="P66" s="121">
        <f>'Табл. 4.3 платные (0902)'!P66</f>
        <v>0</v>
      </c>
      <c r="Q66" s="121">
        <f>'Табл. 4.3 платные (0902)'!Q66</f>
        <v>0</v>
      </c>
      <c r="R66" s="121">
        <f>'Табл. 4.3 платные (0902)'!R66</f>
        <v>0</v>
      </c>
      <c r="S66" s="121">
        <f>'Табл. 4.3 платные (0902)'!S66</f>
        <v>0</v>
      </c>
      <c r="T66" s="121">
        <f>'Табл. 4.3 платные (0902)'!T66</f>
        <v>0</v>
      </c>
      <c r="U66" s="121">
        <f>'Табл. 4.3 платные (0902)'!U66</f>
        <v>0</v>
      </c>
      <c r="V66" s="121">
        <f>'Табл. 4.3 платные (0902)'!V66</f>
        <v>0</v>
      </c>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28" customFormat="1" ht="31.5" customHeight="1" x14ac:dyDescent="0.25">
      <c r="A67" s="326" t="s">
        <v>309</v>
      </c>
      <c r="B67" s="327"/>
      <c r="C67" s="327"/>
      <c r="D67" s="328"/>
      <c r="E67" s="84">
        <v>2350</v>
      </c>
      <c r="F67" s="200">
        <v>853</v>
      </c>
      <c r="G67" s="200">
        <v>295</v>
      </c>
      <c r="H67" s="121">
        <f>'Табл. 4.3 платные (0902)'!H67</f>
        <v>102973.91</v>
      </c>
      <c r="I67" s="121">
        <f>'Табл. 4.3 платные (0902)'!I67</f>
        <v>150000</v>
      </c>
      <c r="J67" s="121">
        <f>'Табл. 4.3 платные (0902)'!J67</f>
        <v>150000</v>
      </c>
      <c r="K67" s="121">
        <f>'Табл. 4.3 платные (0902)'!K67</f>
        <v>102973.91</v>
      </c>
      <c r="L67" s="121">
        <f>'Табл. 4.3 платные (0902)'!L67</f>
        <v>150000</v>
      </c>
      <c r="M67" s="121">
        <f>'Табл. 4.3 платные (0902)'!M67</f>
        <v>150000</v>
      </c>
      <c r="N67" s="121">
        <f>'Табл. 4.3 платные (0902)'!N67</f>
        <v>0</v>
      </c>
      <c r="O67" s="121">
        <f>'Табл. 4.3 платные (0902)'!O67</f>
        <v>0</v>
      </c>
      <c r="P67" s="121">
        <f>'Табл. 4.3 платные (0902)'!P67</f>
        <v>0</v>
      </c>
      <c r="Q67" s="121">
        <f>'Табл. 4.3 платные (0902)'!Q67</f>
        <v>0</v>
      </c>
      <c r="R67" s="121">
        <f>'Табл. 4.3 платные (0902)'!R67</f>
        <v>0</v>
      </c>
      <c r="S67" s="121">
        <f>'Табл. 4.3 платные (0902)'!S67</f>
        <v>0</v>
      </c>
      <c r="T67" s="121">
        <f>'Табл. 4.3 платные (0902)'!T67</f>
        <v>0</v>
      </c>
      <c r="U67" s="121">
        <f>'Табл. 4.3 платные (0902)'!U67</f>
        <v>0</v>
      </c>
      <c r="V67" s="121">
        <f>'Табл. 4.3 платные (0902)'!V67</f>
        <v>0</v>
      </c>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28" customFormat="1" ht="34.5" customHeight="1" x14ac:dyDescent="0.25">
      <c r="A68" s="319" t="s">
        <v>133</v>
      </c>
      <c r="B68" s="319"/>
      <c r="C68" s="319"/>
      <c r="D68" s="319"/>
      <c r="E68" s="84">
        <v>2400</v>
      </c>
      <c r="F68" s="200" t="s">
        <v>9</v>
      </c>
      <c r="G68" s="200"/>
      <c r="H68" s="121">
        <f>'Табл. 4.3 платные (0902)'!H68</f>
        <v>0</v>
      </c>
      <c r="I68" s="121">
        <f>'Табл. 4.3 платные (0902)'!I68</f>
        <v>0</v>
      </c>
      <c r="J68" s="121">
        <f>'Табл. 4.3 платные (0902)'!J68</f>
        <v>0</v>
      </c>
      <c r="K68" s="121">
        <f>'Табл. 4.3 платные (0902)'!K68</f>
        <v>0</v>
      </c>
      <c r="L68" s="121">
        <f>'Табл. 4.3 платные (0902)'!L68</f>
        <v>0</v>
      </c>
      <c r="M68" s="121">
        <f>'Табл. 4.3 платные (0902)'!M68</f>
        <v>0</v>
      </c>
      <c r="N68" s="121">
        <f>'Табл. 4.3 платные (0902)'!N68</f>
        <v>0</v>
      </c>
      <c r="O68" s="121">
        <f>'Табл. 4.3 платные (0902)'!O68</f>
        <v>0</v>
      </c>
      <c r="P68" s="121">
        <f>'Табл. 4.3 платные (0902)'!P68</f>
        <v>0</v>
      </c>
      <c r="Q68" s="121">
        <f>'Табл. 4.3 платные (0902)'!Q68</f>
        <v>0</v>
      </c>
      <c r="R68" s="121">
        <f>'Табл. 4.3 платные (0902)'!R68</f>
        <v>0</v>
      </c>
      <c r="S68" s="121">
        <f>'Табл. 4.3 платные (0902)'!S68</f>
        <v>0</v>
      </c>
      <c r="T68" s="121">
        <f>'Табл. 4.3 платные (0902)'!T68</f>
        <v>0</v>
      </c>
      <c r="U68" s="121">
        <f>'Табл. 4.3 платные (0902)'!U68</f>
        <v>0</v>
      </c>
      <c r="V68" s="121">
        <f>'Табл. 4.3 платные (0902)'!V68</f>
        <v>0</v>
      </c>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28" customFormat="1" ht="42.75" customHeight="1" x14ac:dyDescent="0.25">
      <c r="A69" s="319" t="s">
        <v>429</v>
      </c>
      <c r="B69" s="319"/>
      <c r="C69" s="319"/>
      <c r="D69" s="319"/>
      <c r="E69" s="84">
        <v>2410</v>
      </c>
      <c r="F69" s="200">
        <v>613</v>
      </c>
      <c r="G69" s="200"/>
      <c r="H69" s="121">
        <f>'Табл. 4.3 платные (0902)'!H69</f>
        <v>0</v>
      </c>
      <c r="I69" s="121">
        <f>'Табл. 4.3 платные (0902)'!I69</f>
        <v>0</v>
      </c>
      <c r="J69" s="121">
        <f>'Табл. 4.3 платные (0902)'!J69</f>
        <v>0</v>
      </c>
      <c r="K69" s="121">
        <f>'Табл. 4.3 платные (0902)'!K69</f>
        <v>0</v>
      </c>
      <c r="L69" s="121">
        <f>'Табл. 4.3 платные (0902)'!L69</f>
        <v>0</v>
      </c>
      <c r="M69" s="121">
        <f>'Табл. 4.3 платные (0902)'!M69</f>
        <v>0</v>
      </c>
      <c r="N69" s="121">
        <f>'Табл. 4.3 платные (0902)'!N69</f>
        <v>0</v>
      </c>
      <c r="O69" s="121">
        <f>'Табл. 4.3 платные (0902)'!O69</f>
        <v>0</v>
      </c>
      <c r="P69" s="121">
        <f>'Табл. 4.3 платные (0902)'!P69</f>
        <v>0</v>
      </c>
      <c r="Q69" s="121">
        <f>'Табл. 4.3 платные (0902)'!Q69</f>
        <v>0</v>
      </c>
      <c r="R69" s="121">
        <f>'Табл. 4.3 платные (0902)'!R69</f>
        <v>0</v>
      </c>
      <c r="S69" s="121">
        <f>'Табл. 4.3 платные (0902)'!S69</f>
        <v>0</v>
      </c>
      <c r="T69" s="121">
        <f>'Табл. 4.3 платные (0902)'!T69</f>
        <v>0</v>
      </c>
      <c r="U69" s="121">
        <f>'Табл. 4.3 платные (0902)'!U69</f>
        <v>0</v>
      </c>
      <c r="V69" s="121">
        <f>'Табл. 4.3 платные (0902)'!V69</f>
        <v>0</v>
      </c>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28" customFormat="1" ht="19.5" customHeight="1" x14ac:dyDescent="0.25">
      <c r="A70" s="319" t="s">
        <v>430</v>
      </c>
      <c r="B70" s="319"/>
      <c r="C70" s="319"/>
      <c r="D70" s="319"/>
      <c r="E70" s="84">
        <v>2420</v>
      </c>
      <c r="F70" s="200">
        <v>623</v>
      </c>
      <c r="G70" s="200"/>
      <c r="H70" s="121">
        <f>'Табл. 4.3 платные (0902)'!H70</f>
        <v>0</v>
      </c>
      <c r="I70" s="121">
        <f>'Табл. 4.3 платные (0902)'!I70</f>
        <v>0</v>
      </c>
      <c r="J70" s="121">
        <f>'Табл. 4.3 платные (0902)'!J70</f>
        <v>0</v>
      </c>
      <c r="K70" s="121">
        <f>'Табл. 4.3 платные (0902)'!K70</f>
        <v>0</v>
      </c>
      <c r="L70" s="121">
        <f>'Табл. 4.3 платные (0902)'!L70</f>
        <v>0</v>
      </c>
      <c r="M70" s="121">
        <f>'Табл. 4.3 платные (0902)'!M70</f>
        <v>0</v>
      </c>
      <c r="N70" s="121">
        <f>'Табл. 4.3 платные (0902)'!N70</f>
        <v>0</v>
      </c>
      <c r="O70" s="121">
        <f>'Табл. 4.3 платные (0902)'!O70</f>
        <v>0</v>
      </c>
      <c r="P70" s="121">
        <f>'Табл. 4.3 платные (0902)'!P70</f>
        <v>0</v>
      </c>
      <c r="Q70" s="121">
        <f>'Табл. 4.3 платные (0902)'!Q70</f>
        <v>0</v>
      </c>
      <c r="R70" s="121">
        <f>'Табл. 4.3 платные (0902)'!R70</f>
        <v>0</v>
      </c>
      <c r="S70" s="121">
        <f>'Табл. 4.3 платные (0902)'!S70</f>
        <v>0</v>
      </c>
      <c r="T70" s="121">
        <f>'Табл. 4.3 платные (0902)'!T70</f>
        <v>0</v>
      </c>
      <c r="U70" s="121">
        <f>'Табл. 4.3 платные (0902)'!U70</f>
        <v>0</v>
      </c>
      <c r="V70" s="121">
        <f>'Табл. 4.3 платные (0902)'!V70</f>
        <v>0</v>
      </c>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28" customFormat="1" ht="41.25" customHeight="1" x14ac:dyDescent="0.25">
      <c r="A71" s="319" t="s">
        <v>431</v>
      </c>
      <c r="B71" s="319"/>
      <c r="C71" s="319"/>
      <c r="D71" s="319"/>
      <c r="E71" s="84">
        <v>2430</v>
      </c>
      <c r="F71" s="200">
        <v>634</v>
      </c>
      <c r="G71" s="200"/>
      <c r="H71" s="121">
        <f>'Табл. 4.3 платные (0902)'!H71</f>
        <v>0</v>
      </c>
      <c r="I71" s="121">
        <f>'Табл. 4.3 платные (0902)'!I71</f>
        <v>0</v>
      </c>
      <c r="J71" s="121">
        <f>'Табл. 4.3 платные (0902)'!J71</f>
        <v>0</v>
      </c>
      <c r="K71" s="121">
        <f>'Табл. 4.3 платные (0902)'!K71</f>
        <v>0</v>
      </c>
      <c r="L71" s="121">
        <f>'Табл. 4.3 платные (0902)'!L71</f>
        <v>0</v>
      </c>
      <c r="M71" s="121">
        <f>'Табл. 4.3 платные (0902)'!M71</f>
        <v>0</v>
      </c>
      <c r="N71" s="121">
        <f>'Табл. 4.3 платные (0902)'!N71</f>
        <v>0</v>
      </c>
      <c r="O71" s="121">
        <f>'Табл. 4.3 платные (0902)'!O71</f>
        <v>0</v>
      </c>
      <c r="P71" s="121">
        <f>'Табл. 4.3 платные (0902)'!P71</f>
        <v>0</v>
      </c>
      <c r="Q71" s="121">
        <f>'Табл. 4.3 платные (0902)'!Q71</f>
        <v>0</v>
      </c>
      <c r="R71" s="121">
        <f>'Табл. 4.3 платные (0902)'!R71</f>
        <v>0</v>
      </c>
      <c r="S71" s="121">
        <f>'Табл. 4.3 платные (0902)'!S71</f>
        <v>0</v>
      </c>
      <c r="T71" s="121">
        <f>'Табл. 4.3 платные (0902)'!T71</f>
        <v>0</v>
      </c>
      <c r="U71" s="121">
        <f>'Табл. 4.3 платные (0902)'!U71</f>
        <v>0</v>
      </c>
      <c r="V71" s="121">
        <f>'Табл. 4.3 платные (0902)'!V71</f>
        <v>0</v>
      </c>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28" customFormat="1" ht="32.25" customHeight="1" x14ac:dyDescent="0.25">
      <c r="A72" s="326" t="s">
        <v>404</v>
      </c>
      <c r="B72" s="327"/>
      <c r="C72" s="327"/>
      <c r="D72" s="328"/>
      <c r="E72" s="84">
        <v>2440</v>
      </c>
      <c r="F72" s="200">
        <v>810</v>
      </c>
      <c r="G72" s="200"/>
      <c r="H72" s="121">
        <f>'Табл. 4.3 платные (0902)'!H72</f>
        <v>0</v>
      </c>
      <c r="I72" s="121">
        <f>'Табл. 4.3 платные (0902)'!I72</f>
        <v>0</v>
      </c>
      <c r="J72" s="121">
        <f>'Табл. 4.3 платные (0902)'!J72</f>
        <v>0</v>
      </c>
      <c r="K72" s="121"/>
      <c r="L72" s="121"/>
      <c r="M72" s="121"/>
      <c r="N72" s="121"/>
      <c r="O72" s="121"/>
      <c r="P72" s="121"/>
      <c r="Q72" s="121"/>
      <c r="R72" s="121"/>
      <c r="S72" s="121"/>
      <c r="T72" s="121"/>
      <c r="U72" s="121"/>
      <c r="V72" s="12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28" customFormat="1" ht="32.25" customHeight="1" x14ac:dyDescent="0.25">
      <c r="A73" s="507" t="s">
        <v>135</v>
      </c>
      <c r="B73" s="508"/>
      <c r="C73" s="508"/>
      <c r="D73" s="509"/>
      <c r="E73" s="84">
        <v>2450</v>
      </c>
      <c r="F73" s="200">
        <v>862</v>
      </c>
      <c r="G73" s="200"/>
      <c r="H73" s="121">
        <f>'Табл. 4.3 платные (0902)'!H73</f>
        <v>0</v>
      </c>
      <c r="I73" s="121">
        <f>'Табл. 4.3 платные (0902)'!I73</f>
        <v>0</v>
      </c>
      <c r="J73" s="121">
        <f>'Табл. 4.3 платные (0902)'!J73</f>
        <v>0</v>
      </c>
      <c r="K73" s="121"/>
      <c r="L73" s="121"/>
      <c r="M73" s="121"/>
      <c r="N73" s="121"/>
      <c r="O73" s="121"/>
      <c r="P73" s="121"/>
      <c r="Q73" s="121"/>
      <c r="R73" s="121"/>
      <c r="S73" s="121"/>
      <c r="T73" s="121"/>
      <c r="U73" s="121"/>
      <c r="V73" s="12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28" customFormat="1" ht="32.25" customHeight="1" x14ac:dyDescent="0.25">
      <c r="A74" s="507" t="s">
        <v>414</v>
      </c>
      <c r="B74" s="508"/>
      <c r="C74" s="508"/>
      <c r="D74" s="509"/>
      <c r="E74" s="84">
        <v>2460</v>
      </c>
      <c r="F74" s="200">
        <v>863</v>
      </c>
      <c r="G74" s="200"/>
      <c r="H74" s="121">
        <f>'Табл. 4.3 платные (0902)'!H74</f>
        <v>0</v>
      </c>
      <c r="I74" s="121">
        <f>'Табл. 4.3 платные (0902)'!I74</f>
        <v>0</v>
      </c>
      <c r="J74" s="121">
        <f>'Табл. 4.3 платные (0902)'!J74</f>
        <v>0</v>
      </c>
      <c r="K74" s="121"/>
      <c r="L74" s="121"/>
      <c r="M74" s="121"/>
      <c r="N74" s="121"/>
      <c r="O74" s="121"/>
      <c r="P74" s="121"/>
      <c r="Q74" s="121"/>
      <c r="R74" s="121"/>
      <c r="S74" s="121"/>
      <c r="T74" s="121"/>
      <c r="U74" s="121"/>
      <c r="V74" s="12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28" customFormat="1" ht="30.75" customHeight="1" x14ac:dyDescent="0.25">
      <c r="A75" s="319" t="s">
        <v>137</v>
      </c>
      <c r="B75" s="319"/>
      <c r="C75" s="319"/>
      <c r="D75" s="319"/>
      <c r="E75" s="84">
        <v>2500</v>
      </c>
      <c r="F75" s="200" t="s">
        <v>9</v>
      </c>
      <c r="G75" s="200"/>
      <c r="H75" s="121">
        <f>'Табл. 4.3 платные (0902)'!H75</f>
        <v>125000</v>
      </c>
      <c r="I75" s="121">
        <f>'Табл. 4.3 платные (0902)'!I75</f>
        <v>0</v>
      </c>
      <c r="J75" s="121">
        <f>'Табл. 4.3 платные (0902)'!J75</f>
        <v>0</v>
      </c>
      <c r="K75" s="121">
        <f>'Табл. 4.3 платные (0902)'!K75</f>
        <v>125000</v>
      </c>
      <c r="L75" s="121">
        <f>'Табл. 4.3 платные (0902)'!L75</f>
        <v>0</v>
      </c>
      <c r="M75" s="121">
        <f>'Табл. 4.3 платные (0902)'!M75</f>
        <v>0</v>
      </c>
      <c r="N75" s="121">
        <f>'Табл. 4.3 платные (0902)'!N75</f>
        <v>0</v>
      </c>
      <c r="O75" s="121">
        <f>'Табл. 4.3 платные (0902)'!O75</f>
        <v>0</v>
      </c>
      <c r="P75" s="121">
        <f>'Табл. 4.3 платные (0902)'!P75</f>
        <v>0</v>
      </c>
      <c r="Q75" s="121">
        <f>'Табл. 4.3 платные (0902)'!Q75</f>
        <v>0</v>
      </c>
      <c r="R75" s="121">
        <f>'Табл. 4.3 платные (0902)'!R75</f>
        <v>0</v>
      </c>
      <c r="S75" s="121">
        <f>'Табл. 4.3 платные (0902)'!S75</f>
        <v>0</v>
      </c>
      <c r="T75" s="121">
        <f>'Табл. 4.3 платные (0902)'!T75</f>
        <v>0</v>
      </c>
      <c r="U75" s="121">
        <f>'Табл. 4.3 платные (0902)'!U75</f>
        <v>0</v>
      </c>
      <c r="V75" s="121">
        <f>'Табл. 4.3 платные (0902)'!V75</f>
        <v>0</v>
      </c>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28" customFormat="1" ht="53.25" customHeight="1" x14ac:dyDescent="0.25">
      <c r="A76" s="319" t="s">
        <v>138</v>
      </c>
      <c r="B76" s="319"/>
      <c r="C76" s="319"/>
      <c r="D76" s="319"/>
      <c r="E76" s="84">
        <v>2520</v>
      </c>
      <c r="F76" s="200">
        <v>831</v>
      </c>
      <c r="G76" s="200">
        <v>296</v>
      </c>
      <c r="H76" s="121">
        <f>'Табл. 4.3 платные (0902)'!H76</f>
        <v>110000</v>
      </c>
      <c r="I76" s="121">
        <f>'Табл. 4.3 платные (0902)'!I76</f>
        <v>0</v>
      </c>
      <c r="J76" s="121">
        <f>'Табл. 4.3 платные (0902)'!J76</f>
        <v>0</v>
      </c>
      <c r="K76" s="121">
        <f>'Табл. 4.3 платные (0902)'!K76</f>
        <v>110000</v>
      </c>
      <c r="L76" s="121">
        <f>'Табл. 4.3 платные (0902)'!L76</f>
        <v>0</v>
      </c>
      <c r="M76" s="121">
        <f>'Табл. 4.3 платные (0902)'!M76</f>
        <v>0</v>
      </c>
      <c r="N76" s="121">
        <f>'Табл. 4.3 платные (0902)'!N76</f>
        <v>0</v>
      </c>
      <c r="O76" s="121">
        <f>'Табл. 4.3 платные (0902)'!O76</f>
        <v>0</v>
      </c>
      <c r="P76" s="121">
        <f>'Табл. 4.3 платные (0902)'!P76</f>
        <v>0</v>
      </c>
      <c r="Q76" s="121">
        <f>'Табл. 4.3 платные (0902)'!Q76</f>
        <v>0</v>
      </c>
      <c r="R76" s="121">
        <f>'Табл. 4.3 платные (0902)'!R76</f>
        <v>0</v>
      </c>
      <c r="S76" s="121">
        <f>'Табл. 4.3 платные (0902)'!S76</f>
        <v>0</v>
      </c>
      <c r="T76" s="121">
        <f>'Табл. 4.3 платные (0902)'!T76</f>
        <v>0</v>
      </c>
      <c r="U76" s="121">
        <f>'Табл. 4.3 платные (0902)'!U76</f>
        <v>0</v>
      </c>
      <c r="V76" s="121">
        <f>'Табл. 4.3 платные (0902)'!V76</f>
        <v>0</v>
      </c>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28" customFormat="1" ht="53.25" customHeight="1" x14ac:dyDescent="0.25">
      <c r="A77" s="326" t="s">
        <v>435</v>
      </c>
      <c r="B77" s="327"/>
      <c r="C77" s="327"/>
      <c r="D77" s="328"/>
      <c r="E77" s="84">
        <v>2521</v>
      </c>
      <c r="F77" s="200">
        <v>831</v>
      </c>
      <c r="G77" s="200">
        <v>297</v>
      </c>
      <c r="H77" s="121">
        <f>'Табл. 4.3 платные (0902)'!H77</f>
        <v>15000</v>
      </c>
      <c r="I77" s="121">
        <f>'Табл. 4.3 платные (0902)'!I77</f>
        <v>0</v>
      </c>
      <c r="J77" s="121">
        <f>'Табл. 4.3 платные (0902)'!J77</f>
        <v>0</v>
      </c>
      <c r="K77" s="121">
        <f>'Табл. 4.3 платные (0902)'!K77</f>
        <v>15000</v>
      </c>
      <c r="L77" s="121">
        <f>'Табл. 4.3 платные (0902)'!L77</f>
        <v>0</v>
      </c>
      <c r="M77" s="121">
        <f>'Табл. 4.3 платные (0902)'!M77</f>
        <v>0</v>
      </c>
      <c r="N77" s="121"/>
      <c r="O77" s="121"/>
      <c r="P77" s="121"/>
      <c r="Q77" s="121"/>
      <c r="R77" s="121"/>
      <c r="S77" s="121"/>
      <c r="T77" s="121"/>
      <c r="U77" s="121"/>
      <c r="V77" s="12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28" customFormat="1" ht="36" customHeight="1" x14ac:dyDescent="0.25">
      <c r="A78" s="560" t="s">
        <v>374</v>
      </c>
      <c r="B78" s="561"/>
      <c r="C78" s="561"/>
      <c r="D78" s="562"/>
      <c r="E78" s="85">
        <v>2600</v>
      </c>
      <c r="F78" s="217" t="s">
        <v>9</v>
      </c>
      <c r="G78" s="217"/>
      <c r="H78" s="123">
        <f>'Табл. 4.3 платные (0902)'!H78</f>
        <v>2863967.46</v>
      </c>
      <c r="I78" s="123">
        <f>'Табл. 4.3 платные (0902)'!I78</f>
        <v>2887050</v>
      </c>
      <c r="J78" s="123">
        <f>'Табл. 4.3 платные (0902)'!J78</f>
        <v>2418950</v>
      </c>
      <c r="K78" s="123">
        <f>'Табл. 4.3 платные (0902)'!K78</f>
        <v>1933967.46</v>
      </c>
      <c r="L78" s="123">
        <f>'Табл. 4.3 платные (0902)'!L78</f>
        <v>2582050</v>
      </c>
      <c r="M78" s="123">
        <f>'Табл. 4.3 платные (0902)'!M78</f>
        <v>2113950</v>
      </c>
      <c r="N78" s="123">
        <f>'Табл. 4.3 платные (0902)'!N78</f>
        <v>630000</v>
      </c>
      <c r="O78" s="123">
        <f>'Табл. 4.3 платные (0902)'!O78</f>
        <v>305000</v>
      </c>
      <c r="P78" s="123">
        <f>'Табл. 4.3 платные (0902)'!P78</f>
        <v>305000</v>
      </c>
      <c r="Q78" s="123">
        <f>'Табл. 4.3 платные (0902)'!Q78</f>
        <v>300000</v>
      </c>
      <c r="R78" s="123">
        <f>'Табл. 4.3 платные (0902)'!R78</f>
        <v>0</v>
      </c>
      <c r="S78" s="123">
        <f>'Табл. 4.3 платные (0902)'!S78</f>
        <v>0</v>
      </c>
      <c r="T78" s="123">
        <f>'Табл. 4.3 платные (0902)'!T78</f>
        <v>0</v>
      </c>
      <c r="U78" s="123">
        <f>'Табл. 4.3 платные (0902)'!U78</f>
        <v>0</v>
      </c>
      <c r="V78" s="123">
        <f>'Табл. 4.3 платные (0902)'!V78</f>
        <v>0</v>
      </c>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28" customFormat="1" ht="21.75" customHeight="1" x14ac:dyDescent="0.25">
      <c r="A79" s="319" t="s">
        <v>140</v>
      </c>
      <c r="B79" s="319"/>
      <c r="C79" s="319"/>
      <c r="D79" s="319"/>
      <c r="E79" s="84">
        <v>2610</v>
      </c>
      <c r="F79" s="200">
        <v>241</v>
      </c>
      <c r="G79" s="200"/>
      <c r="H79" s="121">
        <f>'Табл. 4.3 платные (0902)'!H79</f>
        <v>0</v>
      </c>
      <c r="I79" s="121">
        <f>'Табл. 4.3 платные (0902)'!I79</f>
        <v>0</v>
      </c>
      <c r="J79" s="121">
        <f>'Табл. 4.3 платные (0902)'!J79</f>
        <v>0</v>
      </c>
      <c r="K79" s="121">
        <f>'Табл. 4.3 платные (0902)'!K79</f>
        <v>0</v>
      </c>
      <c r="L79" s="121">
        <f>'Табл. 4.3 платные (0902)'!L79</f>
        <v>0</v>
      </c>
      <c r="M79" s="121">
        <f>'Табл. 4.3 платные (0902)'!M79</f>
        <v>0</v>
      </c>
      <c r="N79" s="121">
        <f>'Табл. 4.3 платные (0902)'!N79</f>
        <v>0</v>
      </c>
      <c r="O79" s="121">
        <f>'Табл. 4.3 платные (0902)'!O79</f>
        <v>0</v>
      </c>
      <c r="P79" s="121">
        <f>'Табл. 4.3 платные (0902)'!P79</f>
        <v>0</v>
      </c>
      <c r="Q79" s="121">
        <f>'Табл. 4.3 платные (0902)'!Q79</f>
        <v>0</v>
      </c>
      <c r="R79" s="121">
        <f>'Табл. 4.3 платные (0902)'!R79</f>
        <v>0</v>
      </c>
      <c r="S79" s="121">
        <f>'Табл. 4.3 платные (0902)'!S79</f>
        <v>0</v>
      </c>
      <c r="T79" s="121">
        <f>'Табл. 4.3 платные (0902)'!T79</f>
        <v>0</v>
      </c>
      <c r="U79" s="121">
        <f>'Табл. 4.3 платные (0902)'!U79</f>
        <v>0</v>
      </c>
      <c r="V79" s="121">
        <f>'Табл. 4.3 платные (0902)'!V79</f>
        <v>0</v>
      </c>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28" customFormat="1" ht="35.25" customHeight="1" x14ac:dyDescent="0.25">
      <c r="A80" s="326" t="s">
        <v>141</v>
      </c>
      <c r="B80" s="327"/>
      <c r="C80" s="327"/>
      <c r="D80" s="328"/>
      <c r="E80" s="84">
        <v>2620</v>
      </c>
      <c r="F80" s="200">
        <v>242</v>
      </c>
      <c r="G80" s="200"/>
      <c r="H80" s="121">
        <f>'Табл. 4.3 платные (0902)'!H80</f>
        <v>0</v>
      </c>
      <c r="I80" s="121">
        <f>'Табл. 4.3 платные (0902)'!I80</f>
        <v>0</v>
      </c>
      <c r="J80" s="121">
        <f>'Табл. 4.3 платные (0902)'!J80</f>
        <v>0</v>
      </c>
      <c r="K80" s="121">
        <f>'Табл. 4.3 платные (0902)'!K80</f>
        <v>0</v>
      </c>
      <c r="L80" s="121">
        <f>'Табл. 4.3 платные (0902)'!L80</f>
        <v>0</v>
      </c>
      <c r="M80" s="121">
        <f>'Табл. 4.3 платные (0902)'!M80</f>
        <v>0</v>
      </c>
      <c r="N80" s="121">
        <f>'Табл. 4.3 платные (0902)'!N80</f>
        <v>0</v>
      </c>
      <c r="O80" s="121">
        <f>'Табл. 4.3 платные (0902)'!O80</f>
        <v>0</v>
      </c>
      <c r="P80" s="121">
        <f>'Табл. 4.3 платные (0902)'!P80</f>
        <v>0</v>
      </c>
      <c r="Q80" s="121">
        <f>'Табл. 4.3 платные (0902)'!Q80</f>
        <v>0</v>
      </c>
      <c r="R80" s="121">
        <f>'Табл. 4.3 платные (0902)'!R80</f>
        <v>0</v>
      </c>
      <c r="S80" s="121">
        <f>'Табл. 4.3 платные (0902)'!S80</f>
        <v>0</v>
      </c>
      <c r="T80" s="121">
        <f>'Табл. 4.3 платные (0902)'!T80</f>
        <v>0</v>
      </c>
      <c r="U80" s="121">
        <f>'Табл. 4.3 платные (0902)'!U80</f>
        <v>0</v>
      </c>
      <c r="V80" s="121">
        <f>'Табл. 4.3 платные (0902)'!V80</f>
        <v>0</v>
      </c>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28" customFormat="1" ht="35.25" customHeight="1" x14ac:dyDescent="0.25">
      <c r="A81" s="326" t="s">
        <v>263</v>
      </c>
      <c r="B81" s="327"/>
      <c r="C81" s="327"/>
      <c r="D81" s="328"/>
      <c r="E81" s="84"/>
      <c r="F81" s="200">
        <v>243</v>
      </c>
      <c r="G81" s="200">
        <v>225</v>
      </c>
      <c r="H81" s="121">
        <f>'Табл. 4.3 платные (0902)'!H81</f>
        <v>31075.08</v>
      </c>
      <c r="I81" s="121">
        <f>'Табл. 4.3 платные (0902)'!I81</f>
        <v>0</v>
      </c>
      <c r="J81" s="121">
        <f>'Табл. 4.3 платные (0902)'!J81</f>
        <v>0</v>
      </c>
      <c r="K81" s="121">
        <f>'Табл. 4.3 платные (0902)'!K81</f>
        <v>31075.08</v>
      </c>
      <c r="L81" s="121">
        <f>'Табл. 4.3 платные (0902)'!L81</f>
        <v>0</v>
      </c>
      <c r="M81" s="121">
        <f>'Табл. 4.3 платные (0902)'!M81</f>
        <v>0</v>
      </c>
      <c r="N81" s="121">
        <f>'Табл. 4.3 платные (0902)'!N81</f>
        <v>0</v>
      </c>
      <c r="O81" s="121">
        <f>'Табл. 4.3 платные (0902)'!O81</f>
        <v>0</v>
      </c>
      <c r="P81" s="121">
        <f>'Табл. 4.3 платные (0902)'!P81</f>
        <v>0</v>
      </c>
      <c r="Q81" s="121">
        <f>'Табл. 4.3 платные (0902)'!Q81</f>
        <v>0</v>
      </c>
      <c r="R81" s="121">
        <f>'Табл. 4.3 платные (0902)'!R81</f>
        <v>0</v>
      </c>
      <c r="S81" s="121">
        <f>'Табл. 4.3 платные (0902)'!S81</f>
        <v>0</v>
      </c>
      <c r="T81" s="121">
        <f>'Табл. 4.3 платные (0902)'!T81</f>
        <v>0</v>
      </c>
      <c r="U81" s="121">
        <f>'Табл. 4.3 платные (0902)'!U81</f>
        <v>0</v>
      </c>
      <c r="V81" s="121">
        <f>'Табл. 4.3 платные (0902)'!V81</f>
        <v>0</v>
      </c>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28" customFormat="1" ht="42.75" customHeight="1" x14ac:dyDescent="0.25">
      <c r="A82" s="319" t="s">
        <v>263</v>
      </c>
      <c r="B82" s="319"/>
      <c r="C82" s="319"/>
      <c r="D82" s="319"/>
      <c r="E82" s="84">
        <v>2630</v>
      </c>
      <c r="F82" s="200">
        <v>243</v>
      </c>
      <c r="G82" s="200">
        <v>226</v>
      </c>
      <c r="H82" s="121">
        <f>'Табл. 4.3 платные (0902)'!H82</f>
        <v>0</v>
      </c>
      <c r="I82" s="121">
        <f>'Табл. 4.3 платные (0902)'!I82</f>
        <v>36000</v>
      </c>
      <c r="J82" s="121">
        <f>'Табл. 4.3 платные (0902)'!J82</f>
        <v>0</v>
      </c>
      <c r="K82" s="121">
        <f>'Табл. 4.3 платные (0902)'!K82</f>
        <v>0</v>
      </c>
      <c r="L82" s="121">
        <f>'Табл. 4.3 платные (0902)'!L82</f>
        <v>36000</v>
      </c>
      <c r="M82" s="121">
        <f>'Табл. 4.3 платные (0902)'!M82</f>
        <v>0</v>
      </c>
      <c r="N82" s="121">
        <f>'Табл. 4.3 платные (0902)'!N82</f>
        <v>0</v>
      </c>
      <c r="O82" s="121">
        <f>'Табл. 4.3 платные (0902)'!O82</f>
        <v>0</v>
      </c>
      <c r="P82" s="121">
        <f>'Табл. 4.3 платные (0902)'!P82</f>
        <v>0</v>
      </c>
      <c r="Q82" s="121">
        <f>'Табл. 4.3 платные (0902)'!Q82</f>
        <v>0</v>
      </c>
      <c r="R82" s="121">
        <f>'Табл. 4.3 платные (0902)'!R82</f>
        <v>0</v>
      </c>
      <c r="S82" s="121">
        <f>'Табл. 4.3 платные (0902)'!S82</f>
        <v>0</v>
      </c>
      <c r="T82" s="121">
        <f>'Табл. 4.3 платные (0902)'!T82</f>
        <v>0</v>
      </c>
      <c r="U82" s="121">
        <f>'Табл. 4.3 платные (0902)'!U82</f>
        <v>0</v>
      </c>
      <c r="V82" s="121">
        <f>'Табл. 4.3 платные (0902)'!V82</f>
        <v>0</v>
      </c>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28" customFormat="1" ht="19.5" customHeight="1" x14ac:dyDescent="0.25">
      <c r="A83" s="319" t="s">
        <v>142</v>
      </c>
      <c r="B83" s="319"/>
      <c r="C83" s="319"/>
      <c r="D83" s="319"/>
      <c r="E83" s="84">
        <v>2640</v>
      </c>
      <c r="F83" s="200">
        <v>244</v>
      </c>
      <c r="G83" s="200"/>
      <c r="H83" s="123">
        <f>SUM(H85:H99)</f>
        <v>2832892.38</v>
      </c>
      <c r="I83" s="123">
        <f t="shared" ref="I83:V83" si="0">SUM(I85:I99)</f>
        <v>2851050</v>
      </c>
      <c r="J83" s="123">
        <f t="shared" si="0"/>
        <v>2418950</v>
      </c>
      <c r="K83" s="123">
        <f t="shared" si="0"/>
        <v>1902892.38</v>
      </c>
      <c r="L83" s="123">
        <f t="shared" si="0"/>
        <v>2546050</v>
      </c>
      <c r="M83" s="123">
        <f t="shared" si="0"/>
        <v>2113950</v>
      </c>
      <c r="N83" s="123">
        <f t="shared" si="0"/>
        <v>630000</v>
      </c>
      <c r="O83" s="123">
        <f t="shared" si="0"/>
        <v>305000</v>
      </c>
      <c r="P83" s="123">
        <f t="shared" si="0"/>
        <v>305000</v>
      </c>
      <c r="Q83" s="123">
        <f t="shared" si="0"/>
        <v>300000</v>
      </c>
      <c r="R83" s="123">
        <f t="shared" si="0"/>
        <v>0</v>
      </c>
      <c r="S83" s="123">
        <f t="shared" si="0"/>
        <v>0</v>
      </c>
      <c r="T83" s="123">
        <f t="shared" si="0"/>
        <v>0</v>
      </c>
      <c r="U83" s="123">
        <f t="shared" si="0"/>
        <v>0</v>
      </c>
      <c r="V83" s="123">
        <f t="shared" si="0"/>
        <v>0</v>
      </c>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28" customFormat="1" ht="19.5" customHeight="1" x14ac:dyDescent="0.25">
      <c r="A84" s="319" t="s">
        <v>37</v>
      </c>
      <c r="B84" s="319"/>
      <c r="C84" s="319"/>
      <c r="D84" s="319"/>
      <c r="E84" s="76"/>
      <c r="F84" s="200">
        <v>244</v>
      </c>
      <c r="G84" s="200"/>
      <c r="H84" s="121">
        <f>'Табл. 4.3 платные (0902)'!H85</f>
        <v>0</v>
      </c>
      <c r="I84" s="121">
        <f>'Табл. 4.3 платные (0902)'!I85</f>
        <v>0</v>
      </c>
      <c r="J84" s="121">
        <f>'Табл. 4.3 платные (0902)'!J85</f>
        <v>0</v>
      </c>
      <c r="K84" s="121">
        <f>'Табл. 4.3 платные (0902)'!K85</f>
        <v>0</v>
      </c>
      <c r="L84" s="121">
        <f>'Табл. 4.3 платные (0902)'!L85</f>
        <v>0</v>
      </c>
      <c r="M84" s="121">
        <f>'Табл. 4.3 платные (0902)'!M85</f>
        <v>0</v>
      </c>
      <c r="N84" s="121">
        <f>'Табл. 4.3 платные (0902)'!N85</f>
        <v>0</v>
      </c>
      <c r="O84" s="121">
        <f>'Табл. 4.3 платные (0902)'!O85</f>
        <v>0</v>
      </c>
      <c r="P84" s="121">
        <f>'Табл. 4.3 платные (0902)'!P85</f>
        <v>0</v>
      </c>
      <c r="Q84" s="121">
        <f>'Табл. 4.3 платные (0902)'!Q85</f>
        <v>0</v>
      </c>
      <c r="R84" s="121">
        <f>'Табл. 4.3 платные (0902)'!R85</f>
        <v>0</v>
      </c>
      <c r="S84" s="121">
        <f>'Табл. 4.3 платные (0902)'!S85</f>
        <v>0</v>
      </c>
      <c r="T84" s="121">
        <f>'Табл. 4.3 платные (0902)'!T85</f>
        <v>0</v>
      </c>
      <c r="U84" s="121">
        <f>'Табл. 4.3 платные (0902)'!U85</f>
        <v>0</v>
      </c>
      <c r="V84" s="121">
        <f>'Табл. 4.3 платные (0902)'!V85</f>
        <v>0</v>
      </c>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28" customFormat="1" ht="19.5" customHeight="1" x14ac:dyDescent="0.25">
      <c r="A85" s="271" t="s">
        <v>310</v>
      </c>
      <c r="B85" s="272"/>
      <c r="C85" s="272"/>
      <c r="D85" s="273"/>
      <c r="E85" s="76"/>
      <c r="F85" s="200">
        <v>244</v>
      </c>
      <c r="G85" s="200">
        <v>221</v>
      </c>
      <c r="H85" s="121">
        <f>'Табл. 4.3 платные (0902)'!H86</f>
        <v>21630</v>
      </c>
      <c r="I85" s="121">
        <f>'Табл. 4.3 платные (0902)'!I86</f>
        <v>21630</v>
      </c>
      <c r="J85" s="121">
        <f>'Табл. 4.3 платные (0902)'!J86</f>
        <v>21630</v>
      </c>
      <c r="K85" s="121">
        <f>'Табл. 4.3 платные (0902)'!K86</f>
        <v>21630</v>
      </c>
      <c r="L85" s="121">
        <f>'Табл. 4.3 платные (0902)'!L86</f>
        <v>21630</v>
      </c>
      <c r="M85" s="121">
        <f>'Табл. 4.3 платные (0902)'!M86</f>
        <v>21630</v>
      </c>
      <c r="N85" s="121">
        <f>'Табл. 4.3 платные (0902)'!N86</f>
        <v>0</v>
      </c>
      <c r="O85" s="121">
        <f>'Табл. 4.3 платные (0902)'!O86</f>
        <v>0</v>
      </c>
      <c r="P85" s="121">
        <f>'Табл. 4.3 платные (0902)'!P86</f>
        <v>0</v>
      </c>
      <c r="Q85" s="121">
        <f>'Табл. 4.3 платные (0902)'!Q86</f>
        <v>0</v>
      </c>
      <c r="R85" s="121">
        <f>'Табл. 4.3 платные (0902)'!R86</f>
        <v>0</v>
      </c>
      <c r="S85" s="121">
        <f>'Табл. 4.3 платные (0902)'!S86</f>
        <v>0</v>
      </c>
      <c r="T85" s="121">
        <f>'Табл. 4.3 платные (0902)'!T86</f>
        <v>0</v>
      </c>
      <c r="U85" s="121">
        <f>'Табл. 4.3 платные (0902)'!U86</f>
        <v>0</v>
      </c>
      <c r="V85" s="121">
        <f>'Табл. 4.3 платные (0902)'!V86</f>
        <v>0</v>
      </c>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28" customFormat="1" ht="19.5" customHeight="1" x14ac:dyDescent="0.25">
      <c r="A86" s="271" t="s">
        <v>311</v>
      </c>
      <c r="B86" s="272"/>
      <c r="C86" s="272"/>
      <c r="D86" s="273"/>
      <c r="E86" s="76"/>
      <c r="F86" s="200">
        <v>244</v>
      </c>
      <c r="G86" s="200">
        <v>222</v>
      </c>
      <c r="H86" s="121">
        <f>'Табл. 4.3 платные (0902)'!H87</f>
        <v>6000</v>
      </c>
      <c r="I86" s="121">
        <f>'Табл. 4.3 платные (0902)'!I87</f>
        <v>6000</v>
      </c>
      <c r="J86" s="121">
        <f>'Табл. 4.3 платные (0902)'!J87</f>
        <v>6000</v>
      </c>
      <c r="K86" s="121">
        <f>'Табл. 4.3 платные (0902)'!K87</f>
        <v>6000</v>
      </c>
      <c r="L86" s="121">
        <f>'Табл. 4.3 платные (0902)'!L87</f>
        <v>6000</v>
      </c>
      <c r="M86" s="121">
        <f>'Табл. 4.3 платные (0902)'!M87</f>
        <v>6000</v>
      </c>
      <c r="N86" s="121">
        <f>'Табл. 4.3 платные (0902)'!N87</f>
        <v>0</v>
      </c>
      <c r="O86" s="121">
        <f>'Табл. 4.3 платные (0902)'!O87</f>
        <v>0</v>
      </c>
      <c r="P86" s="121">
        <f>'Табл. 4.3 платные (0902)'!P87</f>
        <v>0</v>
      </c>
      <c r="Q86" s="121">
        <f>'Табл. 4.3 платные (0902)'!Q87</f>
        <v>0</v>
      </c>
      <c r="R86" s="121">
        <f>'Табл. 4.3 платные (0902)'!R87</f>
        <v>0</v>
      </c>
      <c r="S86" s="121">
        <f>'Табл. 4.3 платные (0902)'!S87</f>
        <v>0</v>
      </c>
      <c r="T86" s="121">
        <f>'Табл. 4.3 платные (0902)'!T87</f>
        <v>0</v>
      </c>
      <c r="U86" s="121">
        <f>'Табл. 4.3 платные (0902)'!U87</f>
        <v>0</v>
      </c>
      <c r="V86" s="121">
        <f>'Табл. 4.3 платные (0902)'!V87</f>
        <v>0</v>
      </c>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28" customFormat="1" ht="19.5" customHeight="1" x14ac:dyDescent="0.25">
      <c r="A87" s="271" t="s">
        <v>312</v>
      </c>
      <c r="B87" s="272"/>
      <c r="C87" s="272"/>
      <c r="D87" s="273"/>
      <c r="E87" s="76"/>
      <c r="F87" s="200">
        <v>244</v>
      </c>
      <c r="G87" s="200" t="s">
        <v>297</v>
      </c>
      <c r="H87" s="121">
        <f>'Табл. 4.3 платные (0902)'!H88</f>
        <v>0</v>
      </c>
      <c r="I87" s="121">
        <f>'Табл. 4.3 платные (0902)'!I88</f>
        <v>358869</v>
      </c>
      <c r="J87" s="121">
        <f>'Табл. 4.3 платные (0902)'!J88</f>
        <v>290000</v>
      </c>
      <c r="K87" s="121">
        <f>'Табл. 4.3 платные (0902)'!K88</f>
        <v>0</v>
      </c>
      <c r="L87" s="121">
        <f>'Табл. 4.3 платные (0902)'!L88</f>
        <v>358869</v>
      </c>
      <c r="M87" s="121">
        <f>'Табл. 4.3 платные (0902)'!M88</f>
        <v>290000</v>
      </c>
      <c r="N87" s="121">
        <f>'Табл. 4.3 платные (0902)'!N88</f>
        <v>0</v>
      </c>
      <c r="O87" s="121">
        <f>'Табл. 4.3 платные (0902)'!O88</f>
        <v>0</v>
      </c>
      <c r="P87" s="121">
        <f>'Табл. 4.3 платные (0902)'!P88</f>
        <v>0</v>
      </c>
      <c r="Q87" s="121">
        <f>'Табл. 4.3 платные (0902)'!Q88</f>
        <v>0</v>
      </c>
      <c r="R87" s="121">
        <f>'Табл. 4.3 платные (0902)'!R88</f>
        <v>0</v>
      </c>
      <c r="S87" s="121">
        <f>'Табл. 4.3 платные (0902)'!S88</f>
        <v>0</v>
      </c>
      <c r="T87" s="121">
        <f>'Табл. 4.3 платные (0902)'!T88</f>
        <v>0</v>
      </c>
      <c r="U87" s="121">
        <f>'Табл. 4.3 платные (0902)'!U88</f>
        <v>0</v>
      </c>
      <c r="V87" s="121">
        <f>'Табл. 4.3 платные (0902)'!V88</f>
        <v>0</v>
      </c>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28" customFormat="1" ht="19.5" customHeight="1" x14ac:dyDescent="0.25">
      <c r="A88" s="271" t="s">
        <v>313</v>
      </c>
      <c r="B88" s="272"/>
      <c r="C88" s="272"/>
      <c r="D88" s="273"/>
      <c r="E88" s="76"/>
      <c r="F88" s="200">
        <v>244</v>
      </c>
      <c r="G88" s="200" t="s">
        <v>298</v>
      </c>
      <c r="H88" s="121">
        <f>'Табл. 4.3 платные (0902)'!H89</f>
        <v>44513.25</v>
      </c>
      <c r="I88" s="121">
        <f>'Табл. 4.3 платные (0902)'!I89</f>
        <v>14513.25</v>
      </c>
      <c r="J88" s="121">
        <f>'Табл. 4.3 платные (0902)'!J89</f>
        <v>14513.25</v>
      </c>
      <c r="K88" s="121">
        <f>'Табл. 4.3 платные (0902)'!K89</f>
        <v>44513.25</v>
      </c>
      <c r="L88" s="121">
        <f>'Табл. 4.3 платные (0902)'!L89</f>
        <v>14513.25</v>
      </c>
      <c r="M88" s="121">
        <f>'Табл. 4.3 платные (0902)'!M89</f>
        <v>14513.25</v>
      </c>
      <c r="N88" s="121">
        <f>'Табл. 4.3 платные (0902)'!N89</f>
        <v>0</v>
      </c>
      <c r="O88" s="121">
        <f>'Табл. 4.3 платные (0902)'!O89</f>
        <v>0</v>
      </c>
      <c r="P88" s="121">
        <f>'Табл. 4.3 платные (0902)'!P89</f>
        <v>0</v>
      </c>
      <c r="Q88" s="121">
        <f>'Табл. 4.3 платные (0902)'!Q89</f>
        <v>0</v>
      </c>
      <c r="R88" s="121">
        <f>'Табл. 4.3 платные (0902)'!R89</f>
        <v>0</v>
      </c>
      <c r="S88" s="121">
        <f>'Табл. 4.3 платные (0902)'!S89</f>
        <v>0</v>
      </c>
      <c r="T88" s="121">
        <f>'Табл. 4.3 платные (0902)'!T89</f>
        <v>0</v>
      </c>
      <c r="U88" s="121">
        <f>'Табл. 4.3 платные (0902)'!U89</f>
        <v>0</v>
      </c>
      <c r="V88" s="121">
        <f>'Табл. 4.3 платные (0902)'!V89</f>
        <v>0</v>
      </c>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28" customFormat="1" ht="19.5" customHeight="1" x14ac:dyDescent="0.25">
      <c r="A89" s="271" t="s">
        <v>314</v>
      </c>
      <c r="B89" s="272"/>
      <c r="C89" s="272"/>
      <c r="D89" s="273"/>
      <c r="E89" s="76"/>
      <c r="F89" s="200">
        <v>244</v>
      </c>
      <c r="G89" s="200" t="s">
        <v>299</v>
      </c>
      <c r="H89" s="121">
        <f>'Табл. 4.3 платные (0902)'!H90</f>
        <v>0</v>
      </c>
      <c r="I89" s="121">
        <f>'Табл. 4.3 платные (0902)'!I90</f>
        <v>31559.4</v>
      </c>
      <c r="J89" s="121">
        <f>'Табл. 4.3 платные (0902)'!J90</f>
        <v>31559.4</v>
      </c>
      <c r="K89" s="121">
        <f>'Табл. 4.3 платные (0902)'!K90</f>
        <v>0</v>
      </c>
      <c r="L89" s="121">
        <f>'Табл. 4.3 платные (0902)'!L90</f>
        <v>31559.4</v>
      </c>
      <c r="M89" s="121">
        <f>'Табл. 4.3 платные (0902)'!M90</f>
        <v>31559.4</v>
      </c>
      <c r="N89" s="121">
        <f>'Табл. 4.3 платные (0902)'!N90</f>
        <v>0</v>
      </c>
      <c r="O89" s="121">
        <f>'Табл. 4.3 платные (0902)'!O90</f>
        <v>0</v>
      </c>
      <c r="P89" s="121">
        <f>'Табл. 4.3 платные (0902)'!P90</f>
        <v>0</v>
      </c>
      <c r="Q89" s="121">
        <f>'Табл. 4.3 платные (0902)'!Q90</f>
        <v>0</v>
      </c>
      <c r="R89" s="121">
        <f>'Табл. 4.3 платные (0902)'!R90</f>
        <v>0</v>
      </c>
      <c r="S89" s="121">
        <f>'Табл. 4.3 платные (0902)'!S90</f>
        <v>0</v>
      </c>
      <c r="T89" s="121">
        <f>'Табл. 4.3 платные (0902)'!T90</f>
        <v>0</v>
      </c>
      <c r="U89" s="121">
        <f>'Табл. 4.3 платные (0902)'!U90</f>
        <v>0</v>
      </c>
      <c r="V89" s="121">
        <f>'Табл. 4.3 платные (0902)'!V90</f>
        <v>0</v>
      </c>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28" customFormat="1" ht="19.5" customHeight="1" x14ac:dyDescent="0.25">
      <c r="A90" s="271" t="s">
        <v>315</v>
      </c>
      <c r="B90" s="272"/>
      <c r="C90" s="272"/>
      <c r="D90" s="273"/>
      <c r="E90" s="76"/>
      <c r="F90" s="200">
        <v>244</v>
      </c>
      <c r="G90" s="225">
        <v>225</v>
      </c>
      <c r="H90" s="121">
        <f>'Табл. 4.3 платные (0902)'!H91</f>
        <v>16000</v>
      </c>
      <c r="I90" s="121">
        <f>'Табл. 4.3 платные (0902)'!I91</f>
        <v>206828.35</v>
      </c>
      <c r="J90" s="121">
        <f>'Табл. 4.3 платные (0902)'!J91</f>
        <v>130000</v>
      </c>
      <c r="K90" s="121">
        <f>'Табл. 4.3 платные (0902)'!K91</f>
        <v>16000</v>
      </c>
      <c r="L90" s="121">
        <f>'Табл. 4.3 платные (0902)'!L91</f>
        <v>206828.35</v>
      </c>
      <c r="M90" s="121">
        <f>'Табл. 4.3 платные (0902)'!M91</f>
        <v>130000</v>
      </c>
      <c r="N90" s="121">
        <f>'Табл. 4.3 платные (0902)'!N91</f>
        <v>0</v>
      </c>
      <c r="O90" s="121">
        <f>'Табл. 4.3 платные (0902)'!O91</f>
        <v>0</v>
      </c>
      <c r="P90" s="121">
        <f>'Табл. 4.3 платные (0902)'!P91</f>
        <v>0</v>
      </c>
      <c r="Q90" s="121">
        <f>'Табл. 4.3 платные (0902)'!Q91</f>
        <v>0</v>
      </c>
      <c r="R90" s="121">
        <f>'Табл. 4.3 платные (0902)'!R91</f>
        <v>0</v>
      </c>
      <c r="S90" s="121">
        <f>'Табл. 4.3 платные (0902)'!S91</f>
        <v>0</v>
      </c>
      <c r="T90" s="121">
        <f>'Табл. 4.3 платные (0902)'!T91</f>
        <v>0</v>
      </c>
      <c r="U90" s="121">
        <f>'Табл. 4.3 платные (0902)'!U91</f>
        <v>0</v>
      </c>
      <c r="V90" s="121">
        <f>'Табл. 4.3 платные (0902)'!V91</f>
        <v>0</v>
      </c>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28" customFormat="1" ht="19.5" customHeight="1" x14ac:dyDescent="0.25">
      <c r="A91" s="313" t="s">
        <v>300</v>
      </c>
      <c r="B91" s="314"/>
      <c r="C91" s="314"/>
      <c r="D91" s="315"/>
      <c r="E91" s="76"/>
      <c r="F91" s="200">
        <v>244</v>
      </c>
      <c r="G91" s="225">
        <v>226</v>
      </c>
      <c r="H91" s="121">
        <f>'Табл. 4.3 платные (0902)'!H92</f>
        <v>926099.13</v>
      </c>
      <c r="I91" s="121">
        <f>'Табл. 4.3 платные (0902)'!I92</f>
        <v>748000</v>
      </c>
      <c r="J91" s="121">
        <f>'Табл. 4.3 платные (0902)'!J92</f>
        <v>748000</v>
      </c>
      <c r="K91" s="121">
        <f>'Табл. 4.3 платные (0902)'!K92</f>
        <v>671099.13</v>
      </c>
      <c r="L91" s="121">
        <f>'Табл. 4.3 платные (0902)'!L92</f>
        <v>583000</v>
      </c>
      <c r="M91" s="121">
        <f>'Табл. 4.3 платные (0902)'!M92</f>
        <v>583000</v>
      </c>
      <c r="N91" s="121">
        <f>'Табл. 4.3 платные (0902)'!N92</f>
        <v>250000</v>
      </c>
      <c r="O91" s="121">
        <f>'Табл. 4.3 платные (0902)'!O92</f>
        <v>165000</v>
      </c>
      <c r="P91" s="121">
        <f>'Табл. 4.3 платные (0902)'!P92</f>
        <v>165000</v>
      </c>
      <c r="Q91" s="121">
        <f>'Табл. 4.3 платные (0902)'!Q92</f>
        <v>5000</v>
      </c>
      <c r="R91" s="121">
        <f>'Табл. 4.3 платные (0902)'!R92</f>
        <v>0</v>
      </c>
      <c r="S91" s="121">
        <f>'Табл. 4.3 платные (0902)'!S92</f>
        <v>0</v>
      </c>
      <c r="T91" s="121">
        <f>'Табл. 4.3 платные (0902)'!T92</f>
        <v>0</v>
      </c>
      <c r="U91" s="121">
        <f>'Табл. 4.3 платные (0902)'!U92</f>
        <v>0</v>
      </c>
      <c r="V91" s="121">
        <f>'Табл. 4.3 платные (0902)'!V92</f>
        <v>0</v>
      </c>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28" customFormat="1" ht="19.5" customHeight="1" x14ac:dyDescent="0.25">
      <c r="A92" s="125" t="s">
        <v>302</v>
      </c>
      <c r="B92" s="126"/>
      <c r="C92" s="126"/>
      <c r="D92" s="127"/>
      <c r="E92" s="76"/>
      <c r="F92" s="200">
        <v>244</v>
      </c>
      <c r="G92" s="225">
        <v>227</v>
      </c>
      <c r="H92" s="121">
        <f>'Табл. 4.3 платные (0902)'!H93</f>
        <v>6000</v>
      </c>
      <c r="I92" s="121">
        <f>'Табл. 4.3 платные (0902)'!I93</f>
        <v>0</v>
      </c>
      <c r="J92" s="121">
        <f>'Табл. 4.3 платные (0902)'!J93</f>
        <v>0</v>
      </c>
      <c r="K92" s="121">
        <f>'Табл. 4.3 платные (0902)'!K93</f>
        <v>6000</v>
      </c>
      <c r="L92" s="121">
        <f>'Табл. 4.3 платные (0902)'!L93</f>
        <v>0</v>
      </c>
      <c r="M92" s="121">
        <f>'Табл. 4.3 платные (0902)'!M93</f>
        <v>0</v>
      </c>
      <c r="N92" s="121">
        <f>'Табл. 4.3 платные (0902)'!N93</f>
        <v>0</v>
      </c>
      <c r="O92" s="121">
        <f>'Табл. 4.3 платные (0902)'!O93</f>
        <v>0</v>
      </c>
      <c r="P92" s="121">
        <f>'Табл. 4.3 платные (0902)'!P93</f>
        <v>0</v>
      </c>
      <c r="Q92" s="121">
        <f>'Табл. 4.3 платные (0902)'!Q93</f>
        <v>0</v>
      </c>
      <c r="R92" s="121">
        <f>'Табл. 4.3 платные (0902)'!R93</f>
        <v>0</v>
      </c>
      <c r="S92" s="121">
        <f>'Табл. 4.3 платные (0902)'!S93</f>
        <v>0</v>
      </c>
      <c r="T92" s="121">
        <f>'Табл. 4.3 платные (0902)'!T93</f>
        <v>0</v>
      </c>
      <c r="U92" s="121">
        <f>'Табл. 4.3 платные (0902)'!U93</f>
        <v>0</v>
      </c>
      <c r="V92" s="121">
        <f>'Табл. 4.3 платные (0902)'!V93</f>
        <v>0</v>
      </c>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28" customFormat="1" ht="19.5" customHeight="1" x14ac:dyDescent="0.25">
      <c r="A93" s="271" t="s">
        <v>305</v>
      </c>
      <c r="B93" s="272"/>
      <c r="C93" s="272"/>
      <c r="D93" s="273"/>
      <c r="E93" s="76"/>
      <c r="F93" s="200">
        <v>244</v>
      </c>
      <c r="G93" s="225">
        <v>310</v>
      </c>
      <c r="H93" s="121">
        <f>'Табл. 4.3 платные (0902)'!H94</f>
        <v>840000</v>
      </c>
      <c r="I93" s="121">
        <f>'Табл. 4.3 платные (0902)'!I94</f>
        <v>600000</v>
      </c>
      <c r="J93" s="121">
        <f>'Табл. 4.3 платные (0902)'!J94</f>
        <v>600000</v>
      </c>
      <c r="K93" s="121">
        <f>'Табл. 4.3 платные (0902)'!K94</f>
        <v>490000</v>
      </c>
      <c r="L93" s="121">
        <f>'Табл. 4.3 платные (0902)'!L94</f>
        <v>490000</v>
      </c>
      <c r="M93" s="121">
        <f>'Табл. 4.3 платные (0902)'!M94</f>
        <v>490000</v>
      </c>
      <c r="N93" s="121">
        <f>'Табл. 4.3 платные (0902)'!N94</f>
        <v>350000</v>
      </c>
      <c r="O93" s="121">
        <f>'Табл. 4.3 платные (0902)'!O94</f>
        <v>110000</v>
      </c>
      <c r="P93" s="121">
        <f>'Табл. 4.3 платные (0902)'!P94</f>
        <v>110000</v>
      </c>
      <c r="Q93" s="121">
        <f>'Табл. 4.3 платные (0902)'!Q94</f>
        <v>0</v>
      </c>
      <c r="R93" s="121">
        <f>'Табл. 4.3 платные (0902)'!R94</f>
        <v>0</v>
      </c>
      <c r="S93" s="121">
        <f>'Табл. 4.3 платные (0902)'!S94</f>
        <v>0</v>
      </c>
      <c r="T93" s="121">
        <f>'Табл. 4.3 платные (0902)'!T94</f>
        <v>0</v>
      </c>
      <c r="U93" s="121">
        <f>'Табл. 4.3 платные (0902)'!U94</f>
        <v>0</v>
      </c>
      <c r="V93" s="121">
        <f>'Табл. 4.3 платные (0902)'!V94</f>
        <v>0</v>
      </c>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28" customFormat="1" ht="27.75" customHeight="1" x14ac:dyDescent="0.25">
      <c r="A94" s="313" t="s">
        <v>316</v>
      </c>
      <c r="B94" s="314"/>
      <c r="C94" s="314"/>
      <c r="D94" s="315"/>
      <c r="E94" s="76"/>
      <c r="F94" s="200">
        <v>244</v>
      </c>
      <c r="G94" s="225">
        <v>341</v>
      </c>
      <c r="H94" s="121">
        <f>'Табл. 4.3 платные (0902)'!H95</f>
        <v>623910</v>
      </c>
      <c r="I94" s="121">
        <f>'Табл. 4.3 платные (0902)'!I95</f>
        <v>550000</v>
      </c>
      <c r="J94" s="121">
        <f>'Табл. 4.3 платные (0902)'!J95</f>
        <v>263597.34999999998</v>
      </c>
      <c r="K94" s="121">
        <f>'Табл. 4.3 платные (0902)'!K95</f>
        <v>434000</v>
      </c>
      <c r="L94" s="121">
        <f>'Табл. 4.3 платные (0902)'!L95</f>
        <v>530000</v>
      </c>
      <c r="M94" s="121">
        <f>'Табл. 4.3 платные (0902)'!M95</f>
        <v>243597.35</v>
      </c>
      <c r="N94" s="121">
        <f>'Табл. 4.3 платные (0902)'!N95</f>
        <v>0</v>
      </c>
      <c r="O94" s="121">
        <f>'Табл. 4.3 платные (0902)'!O95</f>
        <v>20000</v>
      </c>
      <c r="P94" s="121">
        <f>'Табл. 4.3 платные (0902)'!P95</f>
        <v>20000</v>
      </c>
      <c r="Q94" s="121">
        <f>'Табл. 4.3 платные (0902)'!Q95</f>
        <v>189910</v>
      </c>
      <c r="R94" s="121">
        <f>'Табл. 4.3 платные (0902)'!R95</f>
        <v>0</v>
      </c>
      <c r="S94" s="121">
        <f>'Табл. 4.3 платные (0902)'!S95</f>
        <v>0</v>
      </c>
      <c r="T94" s="121">
        <f>'Табл. 4.3 платные (0902)'!T95</f>
        <v>0</v>
      </c>
      <c r="U94" s="121">
        <f>'Табл. 4.3 платные (0902)'!U95</f>
        <v>0</v>
      </c>
      <c r="V94" s="121">
        <f>'Табл. 4.3 платные (0902)'!V95</f>
        <v>0</v>
      </c>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28" customFormat="1" ht="27" customHeight="1" x14ac:dyDescent="0.25">
      <c r="A95" s="313" t="s">
        <v>303</v>
      </c>
      <c r="B95" s="314"/>
      <c r="C95" s="314"/>
      <c r="D95" s="315"/>
      <c r="E95" s="76"/>
      <c r="F95" s="200">
        <v>244</v>
      </c>
      <c r="G95" s="225">
        <v>343</v>
      </c>
      <c r="H95" s="121">
        <f>'Табл. 4.3 платные (0902)'!H96</f>
        <v>1200</v>
      </c>
      <c r="I95" s="121">
        <f>'Табл. 4.3 платные (0902)'!I96</f>
        <v>101200</v>
      </c>
      <c r="J95" s="121">
        <f>'Табл. 4.3 платные (0902)'!J96</f>
        <v>101200</v>
      </c>
      <c r="K95" s="121">
        <f>'Табл. 4.3 платные (0902)'!K96</f>
        <v>1200</v>
      </c>
      <c r="L95" s="121">
        <f>'Табл. 4.3 платные (0902)'!L96</f>
        <v>101200</v>
      </c>
      <c r="M95" s="121">
        <f>'Табл. 4.3 платные (0902)'!M96</f>
        <v>101200</v>
      </c>
      <c r="N95" s="121">
        <f>'Табл. 4.3 платные (0902)'!N96</f>
        <v>0</v>
      </c>
      <c r="O95" s="121">
        <f>'Табл. 4.3 платные (0902)'!O96</f>
        <v>0</v>
      </c>
      <c r="P95" s="121">
        <f>'Табл. 4.3 платные (0902)'!P96</f>
        <v>0</v>
      </c>
      <c r="Q95" s="121">
        <f>'Табл. 4.3 платные (0902)'!Q96</f>
        <v>0</v>
      </c>
      <c r="R95" s="121">
        <f>'Табл. 4.3 платные (0902)'!R96</f>
        <v>0</v>
      </c>
      <c r="S95" s="121">
        <f>'Табл. 4.3 платные (0902)'!S96</f>
        <v>0</v>
      </c>
      <c r="T95" s="121">
        <f>'Табл. 4.3 платные (0902)'!T96</f>
        <v>0</v>
      </c>
      <c r="U95" s="121">
        <f>'Табл. 4.3 платные (0902)'!U96</f>
        <v>0</v>
      </c>
      <c r="V95" s="121">
        <f>'Табл. 4.3 платные (0902)'!V96</f>
        <v>0</v>
      </c>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28" customFormat="1" ht="27" customHeight="1" x14ac:dyDescent="0.25">
      <c r="A96" s="310" t="s">
        <v>389</v>
      </c>
      <c r="B96" s="311"/>
      <c r="C96" s="311"/>
      <c r="D96" s="312"/>
      <c r="E96" s="200"/>
      <c r="F96" s="200">
        <v>244</v>
      </c>
      <c r="G96" s="225">
        <v>344</v>
      </c>
      <c r="H96" s="229">
        <f>K96+N96</f>
        <v>10000</v>
      </c>
      <c r="I96" s="229">
        <f>L96+O96</f>
        <v>0</v>
      </c>
      <c r="J96" s="229">
        <f>M96+P96</f>
        <v>0</v>
      </c>
      <c r="K96" s="229">
        <f>10000</f>
        <v>10000</v>
      </c>
      <c r="L96" s="229"/>
      <c r="M96" s="229"/>
      <c r="N96" s="229"/>
      <c r="O96" s="229"/>
      <c r="P96" s="229"/>
      <c r="Q96" s="121"/>
      <c r="R96" s="121"/>
      <c r="S96" s="242"/>
      <c r="T96" s="242"/>
      <c r="U96" s="242"/>
      <c r="V96" s="242"/>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28" customFormat="1" ht="19.5" customHeight="1" x14ac:dyDescent="0.25">
      <c r="A97" s="313" t="s">
        <v>317</v>
      </c>
      <c r="B97" s="314"/>
      <c r="C97" s="314"/>
      <c r="D97" s="315"/>
      <c r="E97" s="76"/>
      <c r="F97" s="200">
        <v>244</v>
      </c>
      <c r="G97" s="225">
        <v>345</v>
      </c>
      <c r="H97" s="121">
        <f>'Табл. 4.3 платные (0902)'!H98</f>
        <v>135090</v>
      </c>
      <c r="I97" s="121">
        <f>'Табл. 4.3 платные (0902)'!I98</f>
        <v>10000</v>
      </c>
      <c r="J97" s="121">
        <f>'Табл. 4.3 платные (0902)'!J98</f>
        <v>10000</v>
      </c>
      <c r="K97" s="121">
        <f>'Табл. 4.3 платные (0902)'!K98</f>
        <v>0</v>
      </c>
      <c r="L97" s="121">
        <f>'Табл. 4.3 платные (0902)'!L98</f>
        <v>0</v>
      </c>
      <c r="M97" s="121">
        <f>'Табл. 4.3 платные (0902)'!M98</f>
        <v>0</v>
      </c>
      <c r="N97" s="121">
        <f>'Табл. 4.3 платные (0902)'!N98</f>
        <v>30000</v>
      </c>
      <c r="O97" s="121">
        <f>'Табл. 4.3 платные (0902)'!O98</f>
        <v>10000</v>
      </c>
      <c r="P97" s="121">
        <f>'Табл. 4.3 платные (0902)'!P98</f>
        <v>10000</v>
      </c>
      <c r="Q97" s="121">
        <f>'Табл. 4.3 платные (0902)'!Q98</f>
        <v>105090</v>
      </c>
      <c r="R97" s="121">
        <f>'Табл. 4.3 платные (0902)'!R98</f>
        <v>0</v>
      </c>
      <c r="S97" s="121">
        <f>'Табл. 4.3 платные (0902)'!S98</f>
        <v>0</v>
      </c>
      <c r="T97" s="121">
        <f>'Табл. 4.3 платные (0902)'!T98</f>
        <v>0</v>
      </c>
      <c r="U97" s="121">
        <f>'Табл. 4.3 платные (0902)'!U98</f>
        <v>0</v>
      </c>
      <c r="V97" s="121">
        <f>'Табл. 4.3 платные (0902)'!V98</f>
        <v>0</v>
      </c>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28" customFormat="1" ht="30.75" customHeight="1" x14ac:dyDescent="0.25">
      <c r="A98" s="313" t="s">
        <v>304</v>
      </c>
      <c r="B98" s="314"/>
      <c r="C98" s="314"/>
      <c r="D98" s="315"/>
      <c r="E98" s="76"/>
      <c r="F98" s="200">
        <v>244</v>
      </c>
      <c r="G98" s="225">
        <v>346</v>
      </c>
      <c r="H98" s="121">
        <f>'Табл. 4.3 платные (0902)'!H99</f>
        <v>182450</v>
      </c>
      <c r="I98" s="121">
        <f>'Табл. 4.3 платные (0902)'!I99</f>
        <v>182450</v>
      </c>
      <c r="J98" s="121">
        <f>'Табл. 4.3 платные (0902)'!J99</f>
        <v>182450</v>
      </c>
      <c r="K98" s="121">
        <f>'Табл. 4.3 платные (0902)'!K99</f>
        <v>182450</v>
      </c>
      <c r="L98" s="121">
        <f>'Табл. 4.3 платные (0902)'!L99</f>
        <v>182450</v>
      </c>
      <c r="M98" s="121">
        <f>'Табл. 4.3 платные (0902)'!M99</f>
        <v>182450</v>
      </c>
      <c r="N98" s="121">
        <f>'Табл. 4.3 платные (0902)'!N99</f>
        <v>0</v>
      </c>
      <c r="O98" s="121">
        <f>'Табл. 4.3 платные (0902)'!O99</f>
        <v>0</v>
      </c>
      <c r="P98" s="121">
        <f>'Табл. 4.3 платные (0902)'!P99</f>
        <v>0</v>
      </c>
      <c r="Q98" s="121">
        <f>'Табл. 4.3 платные (0902)'!Q99</f>
        <v>0</v>
      </c>
      <c r="R98" s="121">
        <f>'Табл. 4.3 платные (0902)'!R99</f>
        <v>0</v>
      </c>
      <c r="S98" s="121">
        <f>'Табл. 4.3 платные (0902)'!S99</f>
        <v>0</v>
      </c>
      <c r="T98" s="121">
        <f>'Табл. 4.3 платные (0902)'!T99</f>
        <v>0</v>
      </c>
      <c r="U98" s="121">
        <f>'Табл. 4.3 платные (0902)'!U99</f>
        <v>0</v>
      </c>
      <c r="V98" s="121">
        <f>'Табл. 4.3 платные (0902)'!V99</f>
        <v>0</v>
      </c>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28" customFormat="1" ht="28.5" customHeight="1" x14ac:dyDescent="0.25">
      <c r="A99" s="313" t="s">
        <v>318</v>
      </c>
      <c r="B99" s="314"/>
      <c r="C99" s="314"/>
      <c r="D99" s="315"/>
      <c r="E99" s="76"/>
      <c r="F99" s="200">
        <v>244</v>
      </c>
      <c r="G99" s="225">
        <v>349</v>
      </c>
      <c r="H99" s="121">
        <f>'Табл. 4.3 платные (0902)'!H100</f>
        <v>20000</v>
      </c>
      <c r="I99" s="121">
        <f>'Табл. 4.3 платные (0902)'!I100</f>
        <v>20000</v>
      </c>
      <c r="J99" s="121">
        <f>'Табл. 4.3 платные (0902)'!J100</f>
        <v>20000</v>
      </c>
      <c r="K99" s="121">
        <f>'Табл. 4.3 платные (0902)'!K100</f>
        <v>20000</v>
      </c>
      <c r="L99" s="121">
        <f>'Табл. 4.3 платные (0902)'!L100</f>
        <v>20000</v>
      </c>
      <c r="M99" s="121">
        <f>'Табл. 4.3 платные (0902)'!M100</f>
        <v>20000</v>
      </c>
      <c r="N99" s="121">
        <f>'Табл. 4.3 платные (0902)'!N100</f>
        <v>0</v>
      </c>
      <c r="O99" s="121">
        <f>'Табл. 4.3 платные (0902)'!O100</f>
        <v>0</v>
      </c>
      <c r="P99" s="121">
        <f>'Табл. 4.3 платные (0902)'!P100</f>
        <v>0</v>
      </c>
      <c r="Q99" s="121">
        <f>'Табл. 4.3 платные (0902)'!Q100</f>
        <v>0</v>
      </c>
      <c r="R99" s="121">
        <f>'Табл. 4.3 платные (0902)'!R100</f>
        <v>0</v>
      </c>
      <c r="S99" s="121">
        <f>'Табл. 4.3 платные (0902)'!S100</f>
        <v>0</v>
      </c>
      <c r="T99" s="121">
        <f>'Табл. 4.3 платные (0902)'!T100</f>
        <v>0</v>
      </c>
      <c r="U99" s="121">
        <f>'Табл. 4.3 платные (0902)'!U100</f>
        <v>0</v>
      </c>
      <c r="V99" s="121">
        <f>'Табл. 4.3 платные (0902)'!V100</f>
        <v>0</v>
      </c>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row>
    <row r="100" spans="1:75" s="28" customFormat="1" ht="32.25" customHeight="1" x14ac:dyDescent="0.25">
      <c r="A100" s="319" t="s">
        <v>264</v>
      </c>
      <c r="B100" s="319"/>
      <c r="C100" s="319"/>
      <c r="D100" s="319"/>
      <c r="E100" s="84">
        <v>2650</v>
      </c>
      <c r="F100" s="200">
        <v>400</v>
      </c>
      <c r="G100" s="225"/>
      <c r="H100" s="121">
        <f>'Табл. 4.3 платные (0902)'!H101</f>
        <v>0</v>
      </c>
      <c r="I100" s="121">
        <f>'Табл. 4.3 платные (0902)'!I101</f>
        <v>0</v>
      </c>
      <c r="J100" s="121">
        <f>'Табл. 4.3 платные (0902)'!J101</f>
        <v>0</v>
      </c>
      <c r="K100" s="121">
        <f>'Табл. 4.3 платные (0902)'!K101</f>
        <v>0</v>
      </c>
      <c r="L100" s="121">
        <f>'Табл. 4.3 платные (0902)'!L101</f>
        <v>0</v>
      </c>
      <c r="M100" s="121">
        <f>'Табл. 4.3 платные (0902)'!M101</f>
        <v>0</v>
      </c>
      <c r="N100" s="121">
        <f>'Табл. 4.3 платные (0902)'!N101</f>
        <v>0</v>
      </c>
      <c r="O100" s="121">
        <f>'Табл. 4.3 платные (0902)'!O101</f>
        <v>0</v>
      </c>
      <c r="P100" s="121">
        <f>'Табл. 4.3 платные (0902)'!P101</f>
        <v>0</v>
      </c>
      <c r="Q100" s="121">
        <f>'Табл. 4.3 платные (0902)'!Q101</f>
        <v>0</v>
      </c>
      <c r="R100" s="121">
        <f>'Табл. 4.3 платные (0902)'!R101</f>
        <v>0</v>
      </c>
      <c r="S100" s="121">
        <f>'Табл. 4.3 платные (0902)'!S101</f>
        <v>0</v>
      </c>
      <c r="T100" s="121">
        <f>'Табл. 4.3 платные (0902)'!T101</f>
        <v>0</v>
      </c>
      <c r="U100" s="121">
        <f>'Табл. 4.3 платные (0902)'!U101</f>
        <v>0</v>
      </c>
      <c r="V100" s="121">
        <f>'Табл. 4.3 платные (0902)'!V101</f>
        <v>0</v>
      </c>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28" customFormat="1" ht="43.5" customHeight="1" x14ac:dyDescent="0.25">
      <c r="A101" s="319" t="s">
        <v>265</v>
      </c>
      <c r="B101" s="319"/>
      <c r="C101" s="319"/>
      <c r="D101" s="319"/>
      <c r="E101" s="84">
        <v>2651</v>
      </c>
      <c r="F101" s="200">
        <v>406</v>
      </c>
      <c r="G101" s="200"/>
      <c r="H101" s="121">
        <f>'Табл. 4.3 платные (0902)'!H102</f>
        <v>0</v>
      </c>
      <c r="I101" s="121">
        <f>'Табл. 4.3 платные (0902)'!I102</f>
        <v>0</v>
      </c>
      <c r="J101" s="121">
        <f>'Табл. 4.3 платные (0902)'!J102</f>
        <v>0</v>
      </c>
      <c r="K101" s="121">
        <f>'Табл. 4.3 платные (0902)'!K102</f>
        <v>0</v>
      </c>
      <c r="L101" s="121">
        <f>'Табл. 4.3 платные (0902)'!L102</f>
        <v>0</v>
      </c>
      <c r="M101" s="121">
        <f>'Табл. 4.3 платные (0902)'!M102</f>
        <v>0</v>
      </c>
      <c r="N101" s="121">
        <f>'Табл. 4.3 платные (0902)'!N102</f>
        <v>0</v>
      </c>
      <c r="O101" s="121">
        <f>'Табл. 4.3 платные (0902)'!O102</f>
        <v>0</v>
      </c>
      <c r="P101" s="121">
        <f>'Табл. 4.3 платные (0902)'!P102</f>
        <v>0</v>
      </c>
      <c r="Q101" s="121">
        <f>'Табл. 4.3 платные (0902)'!Q102</f>
        <v>0</v>
      </c>
      <c r="R101" s="121">
        <f>'Табл. 4.3 платные (0902)'!R102</f>
        <v>0</v>
      </c>
      <c r="S101" s="121">
        <f>'Табл. 4.3 платные (0902)'!S102</f>
        <v>0</v>
      </c>
      <c r="T101" s="121">
        <f>'Табл. 4.3 платные (0902)'!T102</f>
        <v>0</v>
      </c>
      <c r="U101" s="121">
        <f>'Табл. 4.3 платные (0902)'!U102</f>
        <v>0</v>
      </c>
      <c r="V101" s="121">
        <f>'Табл. 4.3 платные (0902)'!V102</f>
        <v>0</v>
      </c>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s="28" customFormat="1" ht="34.5" customHeight="1" x14ac:dyDescent="0.25">
      <c r="A102" s="319" t="s">
        <v>266</v>
      </c>
      <c r="B102" s="319"/>
      <c r="C102" s="319"/>
      <c r="D102" s="319"/>
      <c r="E102" s="84">
        <v>2652</v>
      </c>
      <c r="F102" s="200">
        <v>407</v>
      </c>
      <c r="G102" s="200"/>
      <c r="H102" s="121">
        <f>'Табл. 4.3 платные (0902)'!H103</f>
        <v>0</v>
      </c>
      <c r="I102" s="121">
        <f>'Табл. 4.3 платные (0902)'!I103</f>
        <v>0</v>
      </c>
      <c r="J102" s="121">
        <f>'Табл. 4.3 платные (0902)'!J103</f>
        <v>0</v>
      </c>
      <c r="K102" s="121">
        <f>'Табл. 4.3 платные (0902)'!K103</f>
        <v>0</v>
      </c>
      <c r="L102" s="121">
        <f>'Табл. 4.3 платные (0902)'!L103</f>
        <v>0</v>
      </c>
      <c r="M102" s="121">
        <f>'Табл. 4.3 платные (0902)'!M103</f>
        <v>0</v>
      </c>
      <c r="N102" s="121">
        <f>'Табл. 4.3 платные (0902)'!N103</f>
        <v>0</v>
      </c>
      <c r="O102" s="121">
        <f>'Табл. 4.3 платные (0902)'!O103</f>
        <v>0</v>
      </c>
      <c r="P102" s="121">
        <f>'Табл. 4.3 платные (0902)'!P103</f>
        <v>0</v>
      </c>
      <c r="Q102" s="121">
        <f>'Табл. 4.3 платные (0902)'!Q103</f>
        <v>0</v>
      </c>
      <c r="R102" s="121">
        <f>'Табл. 4.3 платные (0902)'!R103</f>
        <v>0</v>
      </c>
      <c r="S102" s="121">
        <f>'Табл. 4.3 платные (0902)'!S103</f>
        <v>0</v>
      </c>
      <c r="T102" s="121">
        <f>'Табл. 4.3 платные (0902)'!T103</f>
        <v>0</v>
      </c>
      <c r="U102" s="121">
        <f>'Табл. 4.3 платные (0902)'!U103</f>
        <v>0</v>
      </c>
      <c r="V102" s="121">
        <f>'Табл. 4.3 платные (0902)'!V103</f>
        <v>0</v>
      </c>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28" customFormat="1" ht="19.5" customHeight="1" x14ac:dyDescent="0.25">
      <c r="A103" s="472" t="s">
        <v>143</v>
      </c>
      <c r="B103" s="472"/>
      <c r="C103" s="472"/>
      <c r="D103" s="472"/>
      <c r="E103" s="85">
        <v>3000</v>
      </c>
      <c r="F103" s="217">
        <v>100</v>
      </c>
      <c r="G103" s="217"/>
      <c r="H103" s="121">
        <f>'Табл. 4.3 платные (0902)'!H104</f>
        <v>-5811</v>
      </c>
      <c r="I103" s="121">
        <f>'Табл. 4.3 платные (0902)'!I104</f>
        <v>0</v>
      </c>
      <c r="J103" s="121">
        <f>'Табл. 4.3 платные (0902)'!J104</f>
        <v>0</v>
      </c>
      <c r="K103" s="121">
        <f>'Табл. 4.3 платные (0902)'!K104</f>
        <v>-5811</v>
      </c>
      <c r="L103" s="121">
        <f>'Табл. 4.3 платные (0902)'!L104</f>
        <v>0</v>
      </c>
      <c r="M103" s="121">
        <f>'Табл. 4.3 платные (0902)'!M104</f>
        <v>0</v>
      </c>
      <c r="N103" s="121">
        <f>'Табл. 4.3 платные (0902)'!N104</f>
        <v>0</v>
      </c>
      <c r="O103" s="121">
        <f>'Табл. 4.3 платные (0902)'!O104</f>
        <v>0</v>
      </c>
      <c r="P103" s="121">
        <f>'Табл. 4.3 платные (0902)'!P104</f>
        <v>0</v>
      </c>
      <c r="Q103" s="121">
        <f>'Табл. 4.3 платные (0902)'!Q104</f>
        <v>0</v>
      </c>
      <c r="R103" s="121">
        <f>'Табл. 4.3 платные (0902)'!R104</f>
        <v>0</v>
      </c>
      <c r="S103" s="121">
        <f>'Табл. 4.3 платные (0902)'!S104</f>
        <v>0</v>
      </c>
      <c r="T103" s="121">
        <f>'Табл. 4.3 платные (0902)'!T104</f>
        <v>0</v>
      </c>
      <c r="U103" s="121">
        <f>'Табл. 4.3 платные (0902)'!U104</f>
        <v>0</v>
      </c>
      <c r="V103" s="121">
        <f>'Табл. 4.3 платные (0902)'!V104</f>
        <v>0</v>
      </c>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row>
    <row r="104" spans="1:75" s="28" customFormat="1" ht="30.75" customHeight="1" x14ac:dyDescent="0.25">
      <c r="A104" s="319" t="s">
        <v>144</v>
      </c>
      <c r="B104" s="319"/>
      <c r="C104" s="319"/>
      <c r="D104" s="319"/>
      <c r="E104" s="84">
        <v>3010</v>
      </c>
      <c r="F104" s="200"/>
      <c r="G104" s="200"/>
      <c r="H104" s="121">
        <f>'Табл. 4.3 платные (0902)'!H105</f>
        <v>0</v>
      </c>
      <c r="I104" s="121">
        <f>'Табл. 4.3 платные (0902)'!I105</f>
        <v>0</v>
      </c>
      <c r="J104" s="121">
        <f>'Табл. 4.3 платные (0902)'!J105</f>
        <v>0</v>
      </c>
      <c r="K104" s="121">
        <f>'Табл. 4.3 платные (0902)'!K105</f>
        <v>0</v>
      </c>
      <c r="L104" s="121">
        <f>'Табл. 4.3 платные (0902)'!L105</f>
        <v>0</v>
      </c>
      <c r="M104" s="121">
        <f>'Табл. 4.3 платные (0902)'!M105</f>
        <v>0</v>
      </c>
      <c r="N104" s="121">
        <f>'Табл. 4.3 платные (0902)'!N105</f>
        <v>0</v>
      </c>
      <c r="O104" s="121">
        <f>'Табл. 4.3 платные (0902)'!O105</f>
        <v>0</v>
      </c>
      <c r="P104" s="121">
        <f>'Табл. 4.3 платные (0902)'!P105</f>
        <v>0</v>
      </c>
      <c r="Q104" s="121">
        <f>'Табл. 4.3 платные (0902)'!Q105</f>
        <v>0</v>
      </c>
      <c r="R104" s="121">
        <f>'Табл. 4.3 платные (0902)'!R105</f>
        <v>0</v>
      </c>
      <c r="S104" s="121">
        <f>'Табл. 4.3 платные (0902)'!S105</f>
        <v>0</v>
      </c>
      <c r="T104" s="121">
        <f>'Табл. 4.3 платные (0902)'!T105</f>
        <v>0</v>
      </c>
      <c r="U104" s="121">
        <f>'Табл. 4.3 платные (0902)'!U105</f>
        <v>0</v>
      </c>
      <c r="V104" s="121">
        <f>'Табл. 4.3 платные (0902)'!V105</f>
        <v>0</v>
      </c>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row>
    <row r="105" spans="1:75" s="28" customFormat="1" ht="19.5" customHeight="1" x14ac:dyDescent="0.25">
      <c r="A105" s="319" t="s">
        <v>145</v>
      </c>
      <c r="B105" s="319"/>
      <c r="C105" s="319"/>
      <c r="D105" s="319"/>
      <c r="E105" s="84">
        <v>3020</v>
      </c>
      <c r="F105" s="200"/>
      <c r="G105" s="200"/>
      <c r="H105" s="121">
        <f>'Табл. 4.3 платные (0902)'!H106</f>
        <v>-5811</v>
      </c>
      <c r="I105" s="121">
        <f>'Табл. 4.3 платные (0902)'!I106</f>
        <v>0</v>
      </c>
      <c r="J105" s="121">
        <f>'Табл. 4.3 платные (0902)'!J106</f>
        <v>0</v>
      </c>
      <c r="K105" s="121">
        <f>'Табл. 4.3 платные (0902)'!K106</f>
        <v>-5811</v>
      </c>
      <c r="L105" s="121">
        <f>'Табл. 4.3 платные (0902)'!L106</f>
        <v>0</v>
      </c>
      <c r="M105" s="121">
        <f>'Табл. 4.3 платные (0902)'!M106</f>
        <v>0</v>
      </c>
      <c r="N105" s="121">
        <f>'Табл. 4.3 платные (0902)'!N106</f>
        <v>0</v>
      </c>
      <c r="O105" s="121">
        <f>'Табл. 4.3 платные (0902)'!O106</f>
        <v>0</v>
      </c>
      <c r="P105" s="121">
        <f>'Табл. 4.3 платные (0902)'!P106</f>
        <v>0</v>
      </c>
      <c r="Q105" s="121">
        <f>'Табл. 4.3 платные (0902)'!Q106</f>
        <v>0</v>
      </c>
      <c r="R105" s="121">
        <f>'Табл. 4.3 платные (0902)'!R106</f>
        <v>0</v>
      </c>
      <c r="S105" s="121">
        <f>'Табл. 4.3 платные (0902)'!S106</f>
        <v>0</v>
      </c>
      <c r="T105" s="121">
        <f>'Табл. 4.3 платные (0902)'!T106</f>
        <v>0</v>
      </c>
      <c r="U105" s="121">
        <f>'Табл. 4.3 платные (0902)'!U106</f>
        <v>0</v>
      </c>
      <c r="V105" s="121">
        <f>'Табл. 4.3 платные (0902)'!V106</f>
        <v>0</v>
      </c>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row>
    <row r="106" spans="1:75" s="28" customFormat="1" ht="19.5" customHeight="1" x14ac:dyDescent="0.25">
      <c r="A106" s="319" t="s">
        <v>146</v>
      </c>
      <c r="B106" s="319"/>
      <c r="C106" s="319"/>
      <c r="D106" s="319"/>
      <c r="E106" s="84">
        <v>3030</v>
      </c>
      <c r="F106" s="200"/>
      <c r="G106" s="200"/>
      <c r="H106" s="121">
        <f>'Табл. 4.3 платные (0902)'!H107</f>
        <v>0</v>
      </c>
      <c r="I106" s="121">
        <f>'Табл. 4.3 платные (0902)'!I107</f>
        <v>0</v>
      </c>
      <c r="J106" s="121">
        <f>'Табл. 4.3 платные (0902)'!J107</f>
        <v>0</v>
      </c>
      <c r="K106" s="121">
        <f>'Табл. 4.3 платные (0902)'!K107</f>
        <v>0</v>
      </c>
      <c r="L106" s="121">
        <f>'Табл. 4.3 платные (0902)'!L107</f>
        <v>0</v>
      </c>
      <c r="M106" s="121">
        <f>'Табл. 4.3 платные (0902)'!M107</f>
        <v>0</v>
      </c>
      <c r="N106" s="121">
        <f>'Табл. 4.3 платные (0902)'!N107</f>
        <v>0</v>
      </c>
      <c r="O106" s="121">
        <f>'Табл. 4.3 платные (0902)'!O107</f>
        <v>0</v>
      </c>
      <c r="P106" s="121">
        <f>'Табл. 4.3 платные (0902)'!P107</f>
        <v>0</v>
      </c>
      <c r="Q106" s="121">
        <f>'Табл. 4.3 платные (0902)'!Q107</f>
        <v>0</v>
      </c>
      <c r="R106" s="121">
        <f>'Табл. 4.3 платные (0902)'!R107</f>
        <v>0</v>
      </c>
      <c r="S106" s="121">
        <f>'Табл. 4.3 платные (0902)'!S107</f>
        <v>0</v>
      </c>
      <c r="T106" s="121">
        <f>'Табл. 4.3 платные (0902)'!T107</f>
        <v>0</v>
      </c>
      <c r="U106" s="121">
        <f>'Табл. 4.3 платные (0902)'!U107</f>
        <v>0</v>
      </c>
      <c r="V106" s="121">
        <f>'Табл. 4.3 платные (0902)'!V107</f>
        <v>0</v>
      </c>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row>
    <row r="107" spans="1:75" s="28" customFormat="1" ht="19.5" customHeight="1" x14ac:dyDescent="0.25">
      <c r="A107" s="472" t="s">
        <v>147</v>
      </c>
      <c r="B107" s="472"/>
      <c r="C107" s="472"/>
      <c r="D107" s="472"/>
      <c r="E107" s="85">
        <v>4000</v>
      </c>
      <c r="F107" s="217" t="s">
        <v>9</v>
      </c>
      <c r="G107" s="217"/>
      <c r="H107" s="121">
        <f>'Табл. 4.3 платные (0902)'!H108</f>
        <v>0</v>
      </c>
      <c r="I107" s="121">
        <f>'Табл. 4.3 платные (0902)'!I108</f>
        <v>0</v>
      </c>
      <c r="J107" s="121">
        <f>'Табл. 4.3 платные (0902)'!J108</f>
        <v>0</v>
      </c>
      <c r="K107" s="121">
        <f>'Табл. 4.3 платные (0902)'!K108</f>
        <v>0</v>
      </c>
      <c r="L107" s="121">
        <f>'Табл. 4.3 платные (0902)'!L108</f>
        <v>0</v>
      </c>
      <c r="M107" s="121">
        <f>'Табл. 4.3 платные (0902)'!M108</f>
        <v>0</v>
      </c>
      <c r="N107" s="121">
        <f>'Табл. 4.3 платные (0902)'!N108</f>
        <v>0</v>
      </c>
      <c r="O107" s="121">
        <f>'Табл. 4.3 платные (0902)'!O108</f>
        <v>0</v>
      </c>
      <c r="P107" s="121">
        <f>'Табл. 4.3 платные (0902)'!P108</f>
        <v>0</v>
      </c>
      <c r="Q107" s="121">
        <f>'Табл. 4.3 платные (0902)'!Q108</f>
        <v>0</v>
      </c>
      <c r="R107" s="121">
        <f>'Табл. 4.3 платные (0902)'!R108</f>
        <v>0</v>
      </c>
      <c r="S107" s="121">
        <f>'Табл. 4.3 платные (0902)'!S108</f>
        <v>0</v>
      </c>
      <c r="T107" s="121">
        <f>'Табл. 4.3 платные (0902)'!T108</f>
        <v>0</v>
      </c>
      <c r="U107" s="121">
        <f>'Табл. 4.3 платные (0902)'!U108</f>
        <v>0</v>
      </c>
      <c r="V107" s="121">
        <f>'Табл. 4.3 платные (0902)'!V108</f>
        <v>0</v>
      </c>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row>
    <row r="108" spans="1:75" s="28" customFormat="1" ht="26.25" customHeight="1" x14ac:dyDescent="0.25">
      <c r="A108" s="319" t="s">
        <v>148</v>
      </c>
      <c r="B108" s="319"/>
      <c r="C108" s="319"/>
      <c r="D108" s="319"/>
      <c r="E108" s="84">
        <v>4010</v>
      </c>
      <c r="F108" s="227">
        <v>610</v>
      </c>
      <c r="G108" s="200"/>
      <c r="H108" s="121">
        <f>'Табл. 4.3 платные (0902)'!H109</f>
        <v>0</v>
      </c>
      <c r="I108" s="121">
        <f>'Табл. 4.3 платные (0902)'!I109</f>
        <v>0</v>
      </c>
      <c r="J108" s="121">
        <f>'Табл. 4.3 платные (0902)'!J109</f>
        <v>0</v>
      </c>
      <c r="K108" s="121">
        <f>'Табл. 4.3 платные (0902)'!K109</f>
        <v>0</v>
      </c>
      <c r="L108" s="121">
        <f>'Табл. 4.3 платные (0902)'!L109</f>
        <v>0</v>
      </c>
      <c r="M108" s="121">
        <f>'Табл. 4.3 платные (0902)'!M109</f>
        <v>0</v>
      </c>
      <c r="N108" s="121">
        <f>'Табл. 4.3 платные (0902)'!N109</f>
        <v>0</v>
      </c>
      <c r="O108" s="121">
        <f>'Табл. 4.3 платные (0902)'!O109</f>
        <v>0</v>
      </c>
      <c r="P108" s="121">
        <f>'Табл. 4.3 платные (0902)'!P109</f>
        <v>0</v>
      </c>
      <c r="Q108" s="121">
        <f>'Табл. 4.3 платные (0902)'!Q109</f>
        <v>0</v>
      </c>
      <c r="R108" s="121">
        <f>'Табл. 4.3 платные (0902)'!R109</f>
        <v>0</v>
      </c>
      <c r="S108" s="121">
        <f>'Табл. 4.3 платные (0902)'!S109</f>
        <v>0</v>
      </c>
      <c r="T108" s="121">
        <f>'Табл. 4.3 платные (0902)'!T109</f>
        <v>0</v>
      </c>
      <c r="U108" s="121">
        <f>'Табл. 4.3 платные (0902)'!U109</f>
        <v>0</v>
      </c>
      <c r="V108" s="121">
        <f>'Табл. 4.3 платные (0902)'!V109</f>
        <v>0</v>
      </c>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row>
    <row r="109" spans="1:75" s="28" customFormat="1" ht="19.5" customHeight="1" x14ac:dyDescent="0.25">
      <c r="A109" s="79"/>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row>
    <row r="110" spans="1:75" s="70" customFormat="1" ht="20.25" customHeight="1" x14ac:dyDescent="0.25">
      <c r="A110" s="36" t="s">
        <v>225</v>
      </c>
      <c r="B110" s="14"/>
      <c r="C110" s="18"/>
      <c r="D110" s="103"/>
      <c r="E110" s="15"/>
      <c r="F110" s="18"/>
      <c r="G110" s="103"/>
      <c r="H110" s="29"/>
      <c r="I110" s="35"/>
      <c r="J110" s="18"/>
      <c r="K110" s="106" t="s">
        <v>399</v>
      </c>
      <c r="L110" s="106"/>
      <c r="M110" s="71"/>
      <c r="N110" s="71"/>
      <c r="O110" s="71"/>
      <c r="P110" s="71"/>
      <c r="Q110" s="71"/>
      <c r="R110" s="71"/>
      <c r="S110" s="71"/>
      <c r="T110" s="71"/>
      <c r="U110" s="71"/>
      <c r="V110" s="71"/>
    </row>
    <row r="111" spans="1:75" s="70" customFormat="1" ht="11.25" customHeight="1" x14ac:dyDescent="0.2">
      <c r="A111" s="37"/>
      <c r="B111" s="16" t="s">
        <v>30</v>
      </c>
      <c r="C111" s="517"/>
      <c r="D111" s="517"/>
      <c r="E111" s="16"/>
      <c r="F111" s="517"/>
      <c r="G111" s="517"/>
      <c r="H111" s="518" t="s">
        <v>31</v>
      </c>
      <c r="I111" s="518"/>
      <c r="J111" s="54"/>
      <c r="K111" s="524" t="s">
        <v>11</v>
      </c>
      <c r="L111" s="524"/>
      <c r="M111" s="71"/>
      <c r="N111" s="71"/>
      <c r="O111" s="71"/>
      <c r="P111" s="71"/>
      <c r="Q111" s="71"/>
      <c r="R111" s="71"/>
      <c r="S111" s="71"/>
      <c r="T111" s="71"/>
      <c r="U111" s="71"/>
      <c r="V111" s="71"/>
    </row>
    <row r="112" spans="1:75" s="70" customFormat="1" ht="23.25" customHeight="1" x14ac:dyDescent="0.25">
      <c r="A112" s="36" t="s">
        <v>251</v>
      </c>
      <c r="B112" s="14"/>
      <c r="C112" s="18"/>
      <c r="D112" s="103"/>
      <c r="E112" s="15"/>
      <c r="F112" s="18"/>
      <c r="G112" s="103"/>
      <c r="H112" s="29"/>
      <c r="I112" s="35"/>
      <c r="J112" s="18"/>
      <c r="K112" s="106" t="s">
        <v>282</v>
      </c>
      <c r="L112" s="106"/>
      <c r="M112" s="71"/>
      <c r="N112" s="71"/>
      <c r="O112" s="71"/>
      <c r="P112" s="71"/>
      <c r="Q112" s="71"/>
      <c r="R112" s="71"/>
      <c r="S112" s="71"/>
      <c r="T112" s="71"/>
      <c r="U112" s="71"/>
      <c r="V112" s="71"/>
    </row>
    <row r="113" spans="1:148" s="70" customFormat="1" ht="20.25" customHeight="1" x14ac:dyDescent="0.2">
      <c r="A113" s="31"/>
      <c r="B113" s="16"/>
      <c r="C113" s="520"/>
      <c r="D113" s="520"/>
      <c r="E113" s="16"/>
      <c r="F113" s="520"/>
      <c r="G113" s="520"/>
      <c r="H113" s="521" t="s">
        <v>31</v>
      </c>
      <c r="I113" s="521"/>
      <c r="J113" s="54"/>
      <c r="K113" s="524" t="s">
        <v>11</v>
      </c>
      <c r="L113" s="524"/>
      <c r="M113" s="71"/>
      <c r="N113" s="71"/>
      <c r="O113" s="71"/>
      <c r="P113" s="71"/>
      <c r="Q113" s="71"/>
      <c r="R113" s="71"/>
      <c r="S113" s="71"/>
      <c r="T113" s="71"/>
      <c r="U113" s="71"/>
      <c r="V113" s="71"/>
    </row>
    <row r="114" spans="1:148" s="70" customFormat="1" ht="20.25" customHeight="1" x14ac:dyDescent="0.2">
      <c r="A114" s="31"/>
      <c r="B114" s="521" t="s">
        <v>248</v>
      </c>
      <c r="C114" s="521"/>
      <c r="D114" s="75"/>
      <c r="E114" s="16"/>
      <c r="F114" s="75"/>
      <c r="G114" s="75"/>
      <c r="H114" s="74"/>
      <c r="I114" s="74"/>
      <c r="J114" s="54"/>
      <c r="K114" s="107"/>
      <c r="L114" s="107"/>
      <c r="M114" s="71"/>
      <c r="N114" s="71"/>
      <c r="O114" s="71"/>
      <c r="P114" s="71"/>
      <c r="Q114" s="71"/>
      <c r="R114" s="71"/>
      <c r="S114" s="71"/>
      <c r="T114" s="71"/>
      <c r="U114" s="71"/>
      <c r="V114" s="71"/>
    </row>
    <row r="115" spans="1:148" s="70" customFormat="1" ht="24" customHeight="1" x14ac:dyDescent="0.25">
      <c r="A115" s="36" t="s">
        <v>228</v>
      </c>
      <c r="B115" s="14"/>
      <c r="C115" s="18"/>
      <c r="D115" s="103"/>
      <c r="E115" s="15"/>
      <c r="F115" s="18"/>
      <c r="G115" s="103"/>
      <c r="H115" s="29"/>
      <c r="I115" s="35"/>
      <c r="J115" s="18"/>
      <c r="K115" s="106" t="s">
        <v>282</v>
      </c>
      <c r="L115" s="106"/>
      <c r="M115" s="71"/>
      <c r="N115" s="71"/>
      <c r="O115" s="71"/>
      <c r="P115" s="71"/>
      <c r="Q115" s="71"/>
      <c r="R115" s="71"/>
      <c r="S115" s="71"/>
      <c r="T115" s="71"/>
      <c r="U115" s="71"/>
      <c r="V115" s="71"/>
    </row>
    <row r="116" spans="1:148" s="70" customFormat="1" ht="22.5" customHeight="1" x14ac:dyDescent="0.2">
      <c r="A116" s="31"/>
      <c r="B116" s="16"/>
      <c r="C116" s="520"/>
      <c r="D116" s="520"/>
      <c r="E116" s="16"/>
      <c r="F116" s="520"/>
      <c r="G116" s="520"/>
      <c r="H116" s="521" t="s">
        <v>31</v>
      </c>
      <c r="I116" s="521"/>
      <c r="J116" s="54"/>
      <c r="K116" s="522" t="s">
        <v>11</v>
      </c>
      <c r="L116" s="522"/>
      <c r="M116" s="71"/>
      <c r="N116" s="71"/>
      <c r="O116" s="71"/>
      <c r="P116" s="71"/>
      <c r="Q116" s="71"/>
      <c r="R116" s="71"/>
      <c r="S116" s="71"/>
      <c r="T116" s="71"/>
      <c r="U116" s="71"/>
      <c r="V116" s="71"/>
    </row>
    <row r="117" spans="1:148" s="70" customFormat="1" ht="19.5" customHeight="1" x14ac:dyDescent="0.2">
      <c r="A117" s="102"/>
      <c r="B117" s="523"/>
      <c r="C117" s="523"/>
      <c r="D117" s="102"/>
      <c r="E117" s="71"/>
      <c r="F117" s="71"/>
      <c r="G117" s="71"/>
      <c r="H117" s="71"/>
      <c r="I117" s="71"/>
      <c r="J117" s="71"/>
      <c r="K117" s="71"/>
      <c r="L117" s="71"/>
      <c r="M117" s="71"/>
      <c r="N117" s="71"/>
      <c r="O117" s="71"/>
      <c r="P117" s="71"/>
      <c r="Q117" s="71"/>
      <c r="R117" s="71"/>
      <c r="S117" s="71"/>
      <c r="T117" s="71"/>
      <c r="U117" s="71"/>
      <c r="V117" s="71"/>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row>
    <row r="118" spans="1:148" s="70" customFormat="1" ht="10.5" customHeight="1" x14ac:dyDescent="0.2">
      <c r="A118" s="256" t="s">
        <v>149</v>
      </c>
      <c r="B118" s="256"/>
      <c r="C118" s="256"/>
      <c r="D118" s="256"/>
      <c r="E118" s="256"/>
      <c r="F118" s="256"/>
      <c r="G118" s="256"/>
      <c r="H118" s="256"/>
      <c r="I118" s="256"/>
      <c r="J118" s="256"/>
      <c r="K118" s="256"/>
      <c r="L118" s="256"/>
      <c r="M118" s="256"/>
      <c r="N118" s="256"/>
    </row>
    <row r="119" spans="1:148" s="70" customFormat="1" ht="14.25" customHeight="1" x14ac:dyDescent="0.2">
      <c r="A119" s="256" t="s">
        <v>268</v>
      </c>
      <c r="B119" s="256"/>
      <c r="C119" s="256"/>
      <c r="D119" s="256"/>
      <c r="E119" s="256"/>
      <c r="F119" s="256"/>
      <c r="G119" s="256"/>
      <c r="H119" s="256"/>
      <c r="I119" s="256"/>
      <c r="J119" s="256"/>
      <c r="K119" s="256"/>
      <c r="L119" s="256"/>
      <c r="M119" s="256"/>
      <c r="N119" s="256"/>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row>
    <row r="120" spans="1:148" s="70" customFormat="1" ht="12" customHeight="1" x14ac:dyDescent="0.2">
      <c r="A120" s="256" t="s">
        <v>150</v>
      </c>
      <c r="B120" s="256"/>
      <c r="C120" s="256"/>
      <c r="D120" s="256"/>
      <c r="E120" s="256"/>
      <c r="F120" s="256"/>
      <c r="G120" s="256"/>
      <c r="H120" s="256"/>
      <c r="I120" s="256"/>
      <c r="J120" s="256"/>
      <c r="K120" s="256"/>
      <c r="L120" s="256"/>
      <c r="M120" s="256"/>
      <c r="N120" s="256"/>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row>
    <row r="121" spans="1:148" s="70" customFormat="1" ht="17.25" customHeight="1" x14ac:dyDescent="0.2">
      <c r="A121" s="262" t="s">
        <v>151</v>
      </c>
      <c r="B121" s="262"/>
      <c r="C121" s="262"/>
      <c r="D121" s="262"/>
      <c r="E121" s="262"/>
      <c r="F121" s="262"/>
      <c r="G121" s="262"/>
      <c r="H121" s="262"/>
      <c r="I121" s="262"/>
      <c r="J121" s="262"/>
      <c r="K121" s="262"/>
      <c r="L121" s="262"/>
      <c r="M121" s="262"/>
      <c r="N121" s="262"/>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row>
    <row r="122" spans="1:148" s="70" customFormat="1" ht="11.25" customHeight="1" x14ac:dyDescent="0.2">
      <c r="A122" s="262" t="s">
        <v>152</v>
      </c>
      <c r="B122" s="262"/>
      <c r="C122" s="262"/>
      <c r="D122" s="262"/>
      <c r="E122" s="262"/>
      <c r="F122" s="262"/>
      <c r="G122" s="262"/>
      <c r="H122" s="262"/>
      <c r="I122" s="262"/>
      <c r="J122" s="262"/>
      <c r="K122" s="262"/>
      <c r="L122" s="262"/>
      <c r="M122" s="262"/>
      <c r="N122" s="262"/>
    </row>
    <row r="123" spans="1:148" s="70" customFormat="1" ht="11.25" customHeight="1" x14ac:dyDescent="0.2">
      <c r="A123" s="262" t="s">
        <v>153</v>
      </c>
      <c r="B123" s="262"/>
      <c r="C123" s="262"/>
      <c r="D123" s="262"/>
      <c r="E123" s="262"/>
      <c r="F123" s="262"/>
      <c r="G123" s="262"/>
      <c r="H123" s="262"/>
      <c r="I123" s="262"/>
      <c r="J123" s="262"/>
      <c r="K123" s="262"/>
      <c r="L123" s="262"/>
      <c r="M123" s="262"/>
      <c r="N123" s="262"/>
    </row>
    <row r="124" spans="1:148" s="70" customFormat="1" ht="30" customHeight="1" x14ac:dyDescent="0.2">
      <c r="A124" s="262" t="s">
        <v>154</v>
      </c>
      <c r="B124" s="262"/>
      <c r="C124" s="262"/>
      <c r="D124" s="262"/>
      <c r="E124" s="262"/>
      <c r="F124" s="262"/>
      <c r="G124" s="262"/>
      <c r="H124" s="262"/>
      <c r="I124" s="262"/>
      <c r="J124" s="262"/>
      <c r="K124" s="262"/>
      <c r="L124" s="262"/>
      <c r="M124" s="262"/>
      <c r="N124" s="262"/>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row>
    <row r="125" spans="1:148" s="28" customFormat="1" ht="19.5" customHeight="1" x14ac:dyDescent="0.25">
      <c r="A125" s="262" t="s">
        <v>267</v>
      </c>
      <c r="B125" s="262"/>
      <c r="C125" s="262"/>
      <c r="D125" s="262"/>
      <c r="E125" s="262"/>
      <c r="F125" s="262"/>
      <c r="G125" s="262"/>
      <c r="H125" s="262"/>
      <c r="I125" s="262"/>
      <c r="J125" s="262"/>
      <c r="K125" s="262"/>
      <c r="L125" s="262"/>
      <c r="M125" s="262"/>
      <c r="N125" s="262"/>
      <c r="O125" s="70"/>
      <c r="P125" s="70"/>
      <c r="Q125" s="70"/>
      <c r="R125" s="70"/>
      <c r="S125" s="70"/>
      <c r="T125" s="70"/>
      <c r="U125" s="70"/>
      <c r="V125" s="70"/>
    </row>
    <row r="126" spans="1:148" s="28" customFormat="1" ht="41.25" customHeight="1" x14ac:dyDescent="0.25">
      <c r="A126" s="262" t="s">
        <v>155</v>
      </c>
      <c r="B126" s="262"/>
      <c r="C126" s="262"/>
      <c r="D126" s="262"/>
      <c r="E126" s="262"/>
      <c r="F126" s="262"/>
      <c r="G126" s="262"/>
      <c r="H126" s="262"/>
      <c r="I126" s="262"/>
      <c r="J126" s="262"/>
      <c r="K126" s="262"/>
      <c r="L126" s="262"/>
      <c r="M126" s="262"/>
      <c r="N126" s="262"/>
      <c r="O126" s="78"/>
      <c r="P126" s="78"/>
      <c r="Q126" s="78"/>
      <c r="R126" s="78"/>
      <c r="S126" s="78"/>
      <c r="T126" s="78"/>
      <c r="U126" s="78"/>
      <c r="V126" s="78"/>
    </row>
    <row r="127" spans="1:148" s="28" customFormat="1" ht="30" customHeight="1" x14ac:dyDescent="0.25">
      <c r="A127" s="262" t="s">
        <v>260</v>
      </c>
      <c r="B127" s="262"/>
      <c r="C127" s="262"/>
      <c r="D127" s="262"/>
      <c r="E127" s="262"/>
      <c r="F127" s="262"/>
      <c r="G127" s="262"/>
      <c r="H127" s="262"/>
      <c r="I127" s="262"/>
      <c r="J127" s="262"/>
      <c r="K127" s="78"/>
      <c r="L127" s="78"/>
      <c r="M127" s="78"/>
      <c r="N127" s="78"/>
      <c r="O127" s="78"/>
      <c r="P127" s="78"/>
      <c r="Q127" s="78"/>
      <c r="R127" s="78"/>
      <c r="S127" s="78"/>
      <c r="T127" s="78"/>
      <c r="U127" s="78"/>
      <c r="V127" s="78"/>
    </row>
    <row r="128" spans="1:148" s="28" customFormat="1" ht="39.75" customHeight="1" x14ac:dyDescent="0.25">
      <c r="A128" s="262" t="s">
        <v>156</v>
      </c>
      <c r="B128" s="262"/>
      <c r="C128" s="262"/>
      <c r="D128" s="262"/>
      <c r="E128" s="262"/>
      <c r="F128" s="262"/>
      <c r="G128" s="262"/>
      <c r="H128" s="262"/>
      <c r="I128" s="262"/>
      <c r="J128" s="262"/>
      <c r="K128" s="262"/>
      <c r="L128" s="262"/>
      <c r="M128" s="262"/>
      <c r="N128" s="262"/>
      <c r="O128" s="78"/>
      <c r="P128" s="78"/>
      <c r="Q128" s="78"/>
      <c r="R128" s="78"/>
      <c r="S128" s="78"/>
      <c r="T128" s="78"/>
      <c r="U128" s="78"/>
      <c r="V128" s="78"/>
    </row>
    <row r="129" spans="1:22" s="28" customFormat="1" ht="19.5" customHeight="1" x14ac:dyDescent="0.25">
      <c r="A129" s="262" t="s">
        <v>157</v>
      </c>
      <c r="B129" s="262"/>
      <c r="C129" s="262"/>
      <c r="D129" s="262"/>
      <c r="E129" s="262"/>
      <c r="F129" s="262"/>
      <c r="G129" s="262"/>
      <c r="H129" s="262"/>
      <c r="I129" s="262"/>
      <c r="J129" s="262"/>
      <c r="K129" s="262"/>
      <c r="L129" s="262"/>
      <c r="M129" s="262"/>
      <c r="N129" s="262"/>
      <c r="O129" s="70"/>
      <c r="P129" s="70"/>
      <c r="Q129" s="70"/>
      <c r="R129" s="70"/>
      <c r="S129" s="70"/>
      <c r="T129" s="70"/>
      <c r="U129" s="70"/>
      <c r="V129" s="70"/>
    </row>
    <row r="130" spans="1:22" s="28" customFormat="1" ht="19.5" customHeight="1" x14ac:dyDescent="0.25">
      <c r="A130" s="262" t="s">
        <v>158</v>
      </c>
      <c r="B130" s="262"/>
      <c r="C130" s="262"/>
      <c r="D130" s="262"/>
      <c r="E130" s="262"/>
      <c r="F130" s="262"/>
      <c r="G130" s="262"/>
      <c r="H130" s="262"/>
      <c r="I130" s="262"/>
      <c r="J130" s="262"/>
      <c r="K130" s="262"/>
      <c r="L130" s="262"/>
      <c r="M130" s="262"/>
      <c r="N130" s="262"/>
      <c r="O130" s="70"/>
      <c r="P130" s="70"/>
      <c r="Q130" s="70"/>
      <c r="R130" s="70"/>
      <c r="S130" s="70"/>
      <c r="T130" s="70"/>
      <c r="U130" s="70"/>
      <c r="V130" s="70"/>
    </row>
    <row r="131" spans="1:22" s="28" customFormat="1" ht="40.5" customHeight="1" x14ac:dyDescent="0.25">
      <c r="A131" s="262" t="s">
        <v>159</v>
      </c>
      <c r="B131" s="262"/>
      <c r="C131" s="262"/>
      <c r="D131" s="262"/>
      <c r="E131" s="262"/>
      <c r="F131" s="262"/>
      <c r="G131" s="262"/>
      <c r="H131" s="262"/>
      <c r="I131" s="262"/>
      <c r="J131" s="262"/>
      <c r="K131" s="262"/>
      <c r="L131" s="262"/>
      <c r="M131" s="262"/>
      <c r="N131" s="262"/>
      <c r="O131" s="78"/>
      <c r="P131" s="78"/>
      <c r="Q131" s="78"/>
      <c r="R131" s="78"/>
      <c r="S131" s="78"/>
      <c r="T131" s="78"/>
      <c r="U131" s="78"/>
      <c r="V131" s="78"/>
    </row>
    <row r="132" spans="1:22" s="28" customFormat="1" ht="19.5" customHeight="1" x14ac:dyDescent="0.25"/>
    <row r="133" spans="1:22" s="28" customFormat="1" ht="19.5" customHeight="1" x14ac:dyDescent="0.25">
      <c r="A133" s="28" t="s">
        <v>320</v>
      </c>
      <c r="H133" s="108">
        <f>H13+H15-H43+H103</f>
        <v>0</v>
      </c>
      <c r="I133" s="108">
        <f>I13+I15-I43</f>
        <v>0</v>
      </c>
      <c r="J133" s="108">
        <f>J13+J15-J43</f>
        <v>0</v>
      </c>
      <c r="K133" s="108">
        <f>K13+K15-K43+K103</f>
        <v>0</v>
      </c>
      <c r="L133" s="28">
        <f t="shared" ref="L133:S133" si="1">L13+L15-L43</f>
        <v>0</v>
      </c>
      <c r="M133" s="28">
        <f t="shared" si="1"/>
        <v>0</v>
      </c>
      <c r="N133" s="28">
        <f t="shared" si="1"/>
        <v>0</v>
      </c>
      <c r="O133" s="28">
        <f t="shared" si="1"/>
        <v>0</v>
      </c>
      <c r="P133" s="28">
        <f t="shared" si="1"/>
        <v>0</v>
      </c>
      <c r="Q133" s="28">
        <f t="shared" si="1"/>
        <v>0</v>
      </c>
      <c r="R133" s="28">
        <f t="shared" si="1"/>
        <v>0</v>
      </c>
      <c r="S133" s="28">
        <f t="shared" si="1"/>
        <v>0</v>
      </c>
    </row>
    <row r="134" spans="1:22" s="28" customFormat="1" ht="19.5" customHeight="1" x14ac:dyDescent="0.25"/>
    <row r="135" spans="1:22" s="28" customFormat="1" ht="19.5" customHeight="1" x14ac:dyDescent="0.25"/>
    <row r="136" spans="1:22" s="28" customFormat="1" ht="19.5" customHeight="1" x14ac:dyDescent="0.25"/>
    <row r="137" spans="1:22" s="28" customFormat="1" ht="19.5" customHeight="1" x14ac:dyDescent="0.25"/>
    <row r="138" spans="1:22" s="28" customFormat="1" ht="19.5" customHeight="1" x14ac:dyDescent="0.25"/>
    <row r="139" spans="1:22" s="28" customFormat="1" ht="19.5" customHeight="1" x14ac:dyDescent="0.25"/>
    <row r="140" spans="1:22" s="28" customFormat="1" ht="19.5" customHeight="1" x14ac:dyDescent="0.25"/>
    <row r="141" spans="1:22" s="28" customFormat="1" ht="19.5" customHeight="1" x14ac:dyDescent="0.25"/>
    <row r="142" spans="1:22" s="28" customFormat="1" ht="19.5" customHeight="1" x14ac:dyDescent="0.25"/>
    <row r="143" spans="1:22" s="28" customFormat="1" ht="19.5" customHeight="1" x14ac:dyDescent="0.25"/>
    <row r="144" spans="1:22" s="28" customFormat="1" ht="19.5" customHeight="1" x14ac:dyDescent="0.25"/>
    <row r="145" s="28" customFormat="1" ht="19.5" customHeight="1" x14ac:dyDescent="0.25"/>
    <row r="146" s="28" customFormat="1" ht="19.5" customHeight="1" x14ac:dyDescent="0.25"/>
    <row r="147" s="28" customFormat="1" ht="19.5" customHeight="1" x14ac:dyDescent="0.25"/>
    <row r="148" s="28" customFormat="1" ht="19.5" customHeight="1" x14ac:dyDescent="0.25"/>
    <row r="149" s="28" customFormat="1" ht="19.5" customHeight="1" x14ac:dyDescent="0.25"/>
    <row r="150" s="28" customFormat="1" ht="19.5" customHeight="1" x14ac:dyDescent="0.25"/>
    <row r="151" s="28" customFormat="1" ht="19.5" customHeight="1" x14ac:dyDescent="0.25"/>
    <row r="152" s="28" customFormat="1" ht="19.5" customHeight="1" x14ac:dyDescent="0.25"/>
    <row r="153" s="28" customFormat="1" ht="19.5" customHeight="1" x14ac:dyDescent="0.25"/>
    <row r="154" s="28" customFormat="1" ht="19.5" customHeight="1" x14ac:dyDescent="0.25"/>
    <row r="155" s="28" customFormat="1" ht="19.5" customHeight="1" x14ac:dyDescent="0.25"/>
    <row r="156" s="28" customFormat="1" ht="19.5" customHeight="1" x14ac:dyDescent="0.25"/>
    <row r="157" s="28" customFormat="1" ht="19.5" customHeight="1" x14ac:dyDescent="0.25"/>
    <row r="158" s="28" customFormat="1" ht="19.5" customHeight="1" x14ac:dyDescent="0.25"/>
    <row r="159" s="28" customFormat="1" ht="19.5" customHeight="1" x14ac:dyDescent="0.25"/>
    <row r="160" s="28" customFormat="1" ht="19.5" customHeight="1" x14ac:dyDescent="0.25"/>
    <row r="161" s="28" customFormat="1" ht="19.5" customHeight="1" x14ac:dyDescent="0.25"/>
    <row r="162" s="28" customFormat="1" ht="19.5" customHeight="1" x14ac:dyDescent="0.25"/>
    <row r="163" s="28" customFormat="1" ht="19.5" customHeight="1" x14ac:dyDescent="0.25"/>
    <row r="164" s="28" customFormat="1" ht="19.5" customHeight="1" x14ac:dyDescent="0.25"/>
    <row r="165" s="28" customFormat="1" ht="19.5" customHeight="1" x14ac:dyDescent="0.25"/>
    <row r="166" s="28" customFormat="1" ht="19.5" customHeight="1" x14ac:dyDescent="0.25"/>
    <row r="167" s="28" customFormat="1" ht="19.5" customHeight="1" x14ac:dyDescent="0.25"/>
    <row r="168" s="28" customFormat="1" ht="19.5" customHeight="1" x14ac:dyDescent="0.25"/>
    <row r="169" s="28" customFormat="1" ht="19.5" customHeight="1" x14ac:dyDescent="0.25"/>
    <row r="170" s="28" customFormat="1" ht="19.5" customHeight="1" x14ac:dyDescent="0.25"/>
    <row r="171" s="28" customFormat="1" ht="19.5" customHeight="1" x14ac:dyDescent="0.25"/>
    <row r="172" s="28" customFormat="1" ht="19.5" customHeight="1" x14ac:dyDescent="0.25"/>
    <row r="173" s="28" customFormat="1" ht="19.5" customHeight="1" x14ac:dyDescent="0.25"/>
    <row r="174" s="28" customFormat="1" ht="19.5" customHeight="1" x14ac:dyDescent="0.25"/>
    <row r="175" s="28" customFormat="1" ht="19.5" customHeight="1" x14ac:dyDescent="0.25"/>
    <row r="176" s="28" customFormat="1" ht="19.5" customHeight="1" x14ac:dyDescent="0.25"/>
    <row r="177" s="28" customFormat="1" ht="19.5" customHeight="1" x14ac:dyDescent="0.25"/>
    <row r="178" s="28" customFormat="1" ht="19.5" customHeight="1" x14ac:dyDescent="0.25"/>
    <row r="179" s="28" customFormat="1" ht="19.5" customHeight="1" x14ac:dyDescent="0.25"/>
    <row r="180" s="28" customFormat="1" ht="19.5" customHeight="1" x14ac:dyDescent="0.25"/>
    <row r="181" s="28" customFormat="1" ht="19.5" customHeight="1" x14ac:dyDescent="0.25"/>
    <row r="182" s="28" customFormat="1" ht="19.5" customHeight="1" x14ac:dyDescent="0.25"/>
    <row r="183" s="28" customFormat="1" ht="19.5" customHeight="1" x14ac:dyDescent="0.25"/>
    <row r="184" s="28" customFormat="1" ht="19.5" customHeight="1" x14ac:dyDescent="0.25"/>
    <row r="185" s="28" customFormat="1" ht="19.5" customHeight="1" x14ac:dyDescent="0.25"/>
    <row r="186" s="28" customFormat="1" ht="19.5" customHeight="1" x14ac:dyDescent="0.25"/>
    <row r="187" s="28" customFormat="1" ht="19.5" customHeight="1" x14ac:dyDescent="0.25"/>
    <row r="188" s="28" customFormat="1" ht="19.5" customHeight="1" x14ac:dyDescent="0.25"/>
    <row r="189" s="28" customFormat="1" ht="19.5" customHeight="1" x14ac:dyDescent="0.25"/>
    <row r="190" s="28" customFormat="1" ht="19.5" customHeight="1" x14ac:dyDescent="0.25"/>
    <row r="191" s="28" customFormat="1" ht="19.5" customHeight="1" x14ac:dyDescent="0.25"/>
    <row r="192" s="28" customFormat="1" ht="19.5" customHeight="1" x14ac:dyDescent="0.25"/>
    <row r="193" s="28" customFormat="1" ht="19.5" customHeight="1" x14ac:dyDescent="0.25"/>
    <row r="194" s="28" customFormat="1" ht="19.5" customHeight="1" x14ac:dyDescent="0.25"/>
    <row r="195" s="28" customFormat="1" ht="19.5" customHeight="1" x14ac:dyDescent="0.25"/>
    <row r="196" s="28" customFormat="1" ht="19.5" customHeight="1" x14ac:dyDescent="0.25"/>
    <row r="197" s="28" customFormat="1" ht="19.5" customHeight="1" x14ac:dyDescent="0.25"/>
    <row r="198" s="28" customFormat="1" ht="19.5" customHeight="1" x14ac:dyDescent="0.25"/>
    <row r="199" s="28" customFormat="1" ht="19.5" customHeight="1" x14ac:dyDescent="0.25"/>
    <row r="200" s="28" customFormat="1" ht="19.5" customHeight="1" x14ac:dyDescent="0.25"/>
    <row r="201" s="28" customFormat="1" ht="19.5" customHeight="1" x14ac:dyDescent="0.25"/>
    <row r="202" s="28" customFormat="1" ht="19.5" customHeight="1" x14ac:dyDescent="0.25"/>
    <row r="203" s="28" customFormat="1" ht="19.5" customHeight="1" x14ac:dyDescent="0.25"/>
    <row r="204" s="28" customFormat="1" ht="19.5" customHeight="1" x14ac:dyDescent="0.25"/>
    <row r="205" s="28" customFormat="1" ht="19.5" customHeight="1" x14ac:dyDescent="0.25"/>
    <row r="206" s="28" customFormat="1" ht="19.5" customHeight="1" x14ac:dyDescent="0.25"/>
    <row r="207" s="28" customFormat="1" ht="19.5" customHeight="1" x14ac:dyDescent="0.25"/>
    <row r="208" s="28" customFormat="1" ht="19.5" customHeight="1" x14ac:dyDescent="0.25"/>
    <row r="209" s="28" customFormat="1" ht="19.5" customHeight="1" x14ac:dyDescent="0.25"/>
    <row r="210" s="28" customFormat="1" ht="19.5" customHeight="1" x14ac:dyDescent="0.25"/>
    <row r="211" s="28" customFormat="1" ht="19.5" customHeight="1" x14ac:dyDescent="0.25"/>
    <row r="212" s="28" customFormat="1" ht="19.5" customHeight="1" x14ac:dyDescent="0.25"/>
    <row r="213" s="28" customFormat="1" ht="19.5" customHeight="1" x14ac:dyDescent="0.25"/>
    <row r="214" s="28" customFormat="1" ht="19.5" customHeight="1" x14ac:dyDescent="0.25"/>
    <row r="215" s="28" customFormat="1" ht="19.5" customHeight="1" x14ac:dyDescent="0.25"/>
    <row r="216" s="28" customFormat="1" ht="19.5" customHeight="1" x14ac:dyDescent="0.25"/>
    <row r="217" s="28" customFormat="1" ht="19.5" customHeight="1" x14ac:dyDescent="0.25"/>
    <row r="218" s="28" customFormat="1" ht="19.5" customHeight="1" x14ac:dyDescent="0.25"/>
    <row r="219" s="28" customFormat="1" ht="19.5" customHeight="1" x14ac:dyDescent="0.25"/>
    <row r="220" s="28" customFormat="1" ht="19.5" customHeight="1" x14ac:dyDescent="0.25"/>
    <row r="221" s="28" customFormat="1" ht="19.5" customHeight="1" x14ac:dyDescent="0.25"/>
    <row r="222" s="28" customFormat="1" ht="19.5" customHeight="1" x14ac:dyDescent="0.25"/>
    <row r="223" s="28" customFormat="1" ht="19.5" customHeight="1" x14ac:dyDescent="0.25"/>
    <row r="224" s="28" customFormat="1" ht="19.5" customHeight="1" x14ac:dyDescent="0.25"/>
    <row r="225" s="28" customFormat="1" ht="19.5" customHeight="1" x14ac:dyDescent="0.25"/>
    <row r="226" s="28" customFormat="1" ht="19.5" customHeight="1" x14ac:dyDescent="0.25"/>
    <row r="227" s="28" customFormat="1" ht="19.5" customHeight="1" x14ac:dyDescent="0.25"/>
    <row r="228" s="28" customFormat="1" ht="19.5" customHeight="1" x14ac:dyDescent="0.25"/>
    <row r="229" s="28" customFormat="1" ht="19.5" customHeight="1" x14ac:dyDescent="0.25"/>
    <row r="230" s="28" customFormat="1" ht="19.5" customHeight="1" x14ac:dyDescent="0.25"/>
    <row r="231" s="28" customFormat="1" ht="19.5" customHeight="1" x14ac:dyDescent="0.25"/>
    <row r="232" s="28" customFormat="1" ht="19.5" customHeight="1" x14ac:dyDescent="0.25"/>
    <row r="233" s="28" customFormat="1" ht="19.5" customHeight="1" x14ac:dyDescent="0.25"/>
    <row r="234" s="28" customFormat="1" ht="19.5" customHeight="1" x14ac:dyDescent="0.25"/>
    <row r="235" s="28" customFormat="1" ht="19.5" customHeight="1" x14ac:dyDescent="0.25"/>
    <row r="236" s="28" customFormat="1" ht="19.5" customHeight="1" x14ac:dyDescent="0.25"/>
    <row r="237" s="28" customFormat="1" ht="19.5" customHeight="1" x14ac:dyDescent="0.25"/>
    <row r="238" s="28" customFormat="1" ht="19.5" customHeight="1" x14ac:dyDescent="0.25"/>
    <row r="239" s="28" customFormat="1" ht="19.5" customHeight="1" x14ac:dyDescent="0.25"/>
    <row r="240" s="28" customFormat="1" ht="19.5" customHeight="1" x14ac:dyDescent="0.25"/>
    <row r="241" s="28" customFormat="1" ht="19.5" customHeight="1" x14ac:dyDescent="0.25"/>
    <row r="242" s="28" customFormat="1" ht="19.5" customHeight="1" x14ac:dyDescent="0.25"/>
    <row r="243" s="28" customFormat="1" ht="19.5" customHeight="1" x14ac:dyDescent="0.25"/>
    <row r="244" s="28" customFormat="1" ht="19.5" customHeight="1" x14ac:dyDescent="0.25"/>
    <row r="245" s="28" customFormat="1" ht="19.5" customHeight="1" x14ac:dyDescent="0.25"/>
    <row r="246" s="28" customFormat="1" ht="19.5" customHeight="1" x14ac:dyDescent="0.25"/>
    <row r="247" s="28" customFormat="1" ht="19.5" customHeight="1" x14ac:dyDescent="0.25"/>
    <row r="248" s="28" customFormat="1" ht="19.5" customHeight="1" x14ac:dyDescent="0.25"/>
    <row r="249" s="28" customFormat="1" ht="19.5" customHeight="1" x14ac:dyDescent="0.25"/>
    <row r="250" s="28" customFormat="1" ht="19.5" customHeight="1" x14ac:dyDescent="0.25"/>
    <row r="251" s="28" customFormat="1" ht="19.5" customHeight="1" x14ac:dyDescent="0.25"/>
    <row r="252" s="28" customFormat="1" ht="19.5" customHeight="1" x14ac:dyDescent="0.25"/>
    <row r="253" s="28" customFormat="1" ht="19.5" customHeight="1" x14ac:dyDescent="0.25"/>
    <row r="254" s="28" customFormat="1" ht="19.5" customHeight="1" x14ac:dyDescent="0.25"/>
    <row r="255" s="28" customFormat="1" ht="19.5" customHeight="1" x14ac:dyDescent="0.25"/>
    <row r="256" s="28" customFormat="1" ht="19.5" customHeight="1" x14ac:dyDescent="0.25"/>
    <row r="257" s="28" customFormat="1" ht="19.5" customHeight="1" x14ac:dyDescent="0.25"/>
    <row r="258" s="28" customFormat="1" ht="19.5" customHeight="1" x14ac:dyDescent="0.25"/>
    <row r="259" s="28" customFormat="1" ht="19.5" customHeight="1" x14ac:dyDescent="0.25"/>
    <row r="260" s="28" customFormat="1" ht="19.5" customHeight="1" x14ac:dyDescent="0.25"/>
    <row r="261" s="28" customFormat="1" ht="19.5" customHeight="1" x14ac:dyDescent="0.25"/>
    <row r="262" s="28" customFormat="1" ht="19.5" customHeight="1" x14ac:dyDescent="0.25"/>
    <row r="263" s="28" customFormat="1" ht="19.5" customHeight="1" x14ac:dyDescent="0.25"/>
    <row r="264" s="28" customFormat="1" ht="19.5" customHeight="1" x14ac:dyDescent="0.25"/>
    <row r="265" s="28" customFormat="1" ht="19.5" customHeight="1" x14ac:dyDescent="0.25"/>
    <row r="266" s="28" customFormat="1" ht="19.5" customHeight="1" x14ac:dyDescent="0.25"/>
    <row r="267" s="28" customFormat="1" ht="19.5" customHeight="1" x14ac:dyDescent="0.25"/>
    <row r="268" s="28" customFormat="1" ht="19.5" customHeight="1" x14ac:dyDescent="0.25"/>
    <row r="269" s="28" customFormat="1" ht="19.5" customHeight="1" x14ac:dyDescent="0.25"/>
    <row r="270" s="28" customFormat="1" ht="19.5" customHeight="1" x14ac:dyDescent="0.25"/>
    <row r="271" s="28" customFormat="1" ht="19.5" customHeight="1" x14ac:dyDescent="0.25"/>
    <row r="272" s="28" customFormat="1" ht="19.5" customHeight="1" x14ac:dyDescent="0.25"/>
    <row r="273" s="28" customFormat="1" ht="19.5" customHeight="1" x14ac:dyDescent="0.25"/>
    <row r="274" s="28" customFormat="1" ht="19.5" customHeight="1" x14ac:dyDescent="0.25"/>
    <row r="275" s="28" customFormat="1" ht="19.5" customHeight="1" x14ac:dyDescent="0.25"/>
    <row r="276" s="28" customFormat="1" ht="19.5" customHeight="1" x14ac:dyDescent="0.25"/>
    <row r="277" s="28" customFormat="1" ht="19.5" customHeight="1" x14ac:dyDescent="0.25"/>
    <row r="278" s="28" customFormat="1" ht="19.5" customHeight="1" x14ac:dyDescent="0.25"/>
    <row r="279" s="28" customFormat="1" ht="19.5" customHeight="1" x14ac:dyDescent="0.25"/>
    <row r="280" s="28" customFormat="1" ht="19.5" customHeight="1" x14ac:dyDescent="0.25"/>
    <row r="281" s="28" customFormat="1" ht="19.5" customHeight="1" x14ac:dyDescent="0.25"/>
    <row r="282" s="28" customFormat="1" ht="19.5" customHeight="1" x14ac:dyDescent="0.25"/>
    <row r="283" s="28" customFormat="1" ht="19.5" customHeight="1" x14ac:dyDescent="0.25"/>
    <row r="284" s="28" customFormat="1" ht="19.5" customHeight="1" x14ac:dyDescent="0.25"/>
    <row r="285" s="28" customFormat="1" ht="19.5" customHeight="1" x14ac:dyDescent="0.25"/>
    <row r="286" s="28" customFormat="1" ht="19.5" customHeight="1" x14ac:dyDescent="0.25"/>
    <row r="287" s="28" customFormat="1" ht="19.5" customHeight="1" x14ac:dyDescent="0.25"/>
    <row r="288" s="28" customFormat="1" ht="19.5" customHeight="1" x14ac:dyDescent="0.25"/>
    <row r="289" s="28" customFormat="1" ht="19.5" customHeight="1" x14ac:dyDescent="0.25"/>
    <row r="290" s="28" customFormat="1" ht="19.5" customHeight="1" x14ac:dyDescent="0.25"/>
    <row r="291" s="28" customFormat="1" ht="19.5" customHeight="1" x14ac:dyDescent="0.25"/>
  </sheetData>
  <autoFilter ref="A12:V108">
    <filterColumn colId="0" showButton="0"/>
    <filterColumn colId="1" showButton="0"/>
    <filterColumn colId="2" showButton="0"/>
  </autoFilter>
  <mergeCells count="144">
    <mergeCell ref="A130:N130"/>
    <mergeCell ref="A131:N131"/>
    <mergeCell ref="A124:N124"/>
    <mergeCell ref="A125:N125"/>
    <mergeCell ref="A126:N126"/>
    <mergeCell ref="A127:J127"/>
    <mergeCell ref="A128:N128"/>
    <mergeCell ref="A129:N129"/>
    <mergeCell ref="A118:N118"/>
    <mergeCell ref="A119:N119"/>
    <mergeCell ref="A120:N120"/>
    <mergeCell ref="A121:N121"/>
    <mergeCell ref="A122:N122"/>
    <mergeCell ref="A123:N123"/>
    <mergeCell ref="B114:C114"/>
    <mergeCell ref="C116:D116"/>
    <mergeCell ref="F116:G116"/>
    <mergeCell ref="H116:I116"/>
    <mergeCell ref="K116:L116"/>
    <mergeCell ref="B117:C117"/>
    <mergeCell ref="A108:D108"/>
    <mergeCell ref="C111:D111"/>
    <mergeCell ref="F111:G111"/>
    <mergeCell ref="H111:I111"/>
    <mergeCell ref="K111:L111"/>
    <mergeCell ref="C113:D113"/>
    <mergeCell ref="F113:G113"/>
    <mergeCell ref="H113:I113"/>
    <mergeCell ref="K113:L113"/>
    <mergeCell ref="A102:D102"/>
    <mergeCell ref="A103:D103"/>
    <mergeCell ref="A104:D104"/>
    <mergeCell ref="A105:D105"/>
    <mergeCell ref="A106:D106"/>
    <mergeCell ref="A107:D107"/>
    <mergeCell ref="A95:D95"/>
    <mergeCell ref="A97:D97"/>
    <mergeCell ref="A98:D98"/>
    <mergeCell ref="A99:D99"/>
    <mergeCell ref="A100:D100"/>
    <mergeCell ref="A101:D101"/>
    <mergeCell ref="A96:D96"/>
    <mergeCell ref="A88:D88"/>
    <mergeCell ref="A89:D89"/>
    <mergeCell ref="A90:D90"/>
    <mergeCell ref="A91:D91"/>
    <mergeCell ref="A93:D93"/>
    <mergeCell ref="A94:D94"/>
    <mergeCell ref="A83:D83"/>
    <mergeCell ref="A84:D84"/>
    <mergeCell ref="A85:D85"/>
    <mergeCell ref="A86:D86"/>
    <mergeCell ref="A87:D87"/>
    <mergeCell ref="A75:D75"/>
    <mergeCell ref="A76:D76"/>
    <mergeCell ref="A78:D78"/>
    <mergeCell ref="A79:D79"/>
    <mergeCell ref="A80:D80"/>
    <mergeCell ref="A82:D82"/>
    <mergeCell ref="A66:D66"/>
    <mergeCell ref="A67:D67"/>
    <mergeCell ref="A68:D68"/>
    <mergeCell ref="A69:D69"/>
    <mergeCell ref="A70:D70"/>
    <mergeCell ref="A71:D71"/>
    <mergeCell ref="A81:D81"/>
    <mergeCell ref="A72:D72"/>
    <mergeCell ref="A73:D73"/>
    <mergeCell ref="A74:D74"/>
    <mergeCell ref="A77:D77"/>
    <mergeCell ref="A60:D60"/>
    <mergeCell ref="A61:D61"/>
    <mergeCell ref="A62:D62"/>
    <mergeCell ref="A63:D63"/>
    <mergeCell ref="A64:D64"/>
    <mergeCell ref="A65:D65"/>
    <mergeCell ref="A54:D54"/>
    <mergeCell ref="A55:D55"/>
    <mergeCell ref="A56:D56"/>
    <mergeCell ref="A57:D57"/>
    <mergeCell ref="A58:D58"/>
    <mergeCell ref="A59:D59"/>
    <mergeCell ref="A46:D46"/>
    <mergeCell ref="A49:D49"/>
    <mergeCell ref="A50:D50"/>
    <mergeCell ref="A51:D51"/>
    <mergeCell ref="A52:D52"/>
    <mergeCell ref="A53:D53"/>
    <mergeCell ref="A47:D47"/>
    <mergeCell ref="A48:D48"/>
    <mergeCell ref="A40:D40"/>
    <mergeCell ref="A41:D41"/>
    <mergeCell ref="A42:D42"/>
    <mergeCell ref="A43:D43"/>
    <mergeCell ref="A44:D44"/>
    <mergeCell ref="A45:D45"/>
    <mergeCell ref="A34:D34"/>
    <mergeCell ref="A35:D35"/>
    <mergeCell ref="A36:D36"/>
    <mergeCell ref="A37:D37"/>
    <mergeCell ref="A38:D38"/>
    <mergeCell ref="A39:D39"/>
    <mergeCell ref="A26:D26"/>
    <mergeCell ref="A27:D27"/>
    <mergeCell ref="A30:D30"/>
    <mergeCell ref="A31:D31"/>
    <mergeCell ref="A32:D32"/>
    <mergeCell ref="A33:D33"/>
    <mergeCell ref="A28:D28"/>
    <mergeCell ref="A29:D29"/>
    <mergeCell ref="A21:D21"/>
    <mergeCell ref="A22:D22"/>
    <mergeCell ref="A23:D23"/>
    <mergeCell ref="A24:D24"/>
    <mergeCell ref="A25:D25"/>
    <mergeCell ref="A14:D14"/>
    <mergeCell ref="A15:D15"/>
    <mergeCell ref="A16:D16"/>
    <mergeCell ref="A17:D17"/>
    <mergeCell ref="A18:D18"/>
    <mergeCell ref="A19:D19"/>
    <mergeCell ref="A12:D12"/>
    <mergeCell ref="A13:D13"/>
    <mergeCell ref="Q7:S7"/>
    <mergeCell ref="T7:V7"/>
    <mergeCell ref="K8:M8"/>
    <mergeCell ref="N8:P8"/>
    <mergeCell ref="Q8:S8"/>
    <mergeCell ref="T8:V8"/>
    <mergeCell ref="A20:D20"/>
    <mergeCell ref="A3:P3"/>
    <mergeCell ref="A5:I5"/>
    <mergeCell ref="A6:D11"/>
    <mergeCell ref="E6:E11"/>
    <mergeCell ref="F6:F11"/>
    <mergeCell ref="G6:G11"/>
    <mergeCell ref="H6:V6"/>
    <mergeCell ref="H7:J9"/>
    <mergeCell ref="K7:M7"/>
    <mergeCell ref="N7:P7"/>
    <mergeCell ref="K9:M9"/>
    <mergeCell ref="N9:P9"/>
    <mergeCell ref="Q9:S9"/>
    <mergeCell ref="T9:V9"/>
  </mergeCells>
  <printOptions horizontalCentered="1"/>
  <pageMargins left="0.47244094488188981" right="0.27559055118110237" top="0.39370078740157483" bottom="0.23622047244094491" header="0.43307086614173229" footer="0.51181102362204722"/>
  <pageSetup paperSize="9" scale="58" fitToHeight="2" orientation="landscape" r:id="rId1"/>
  <headerFooter alignWithMargins="0"/>
  <rowBreaks count="2" manualBreakCount="2">
    <brk id="75" max="21" man="1"/>
    <brk id="116"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ER292"/>
  <sheetViews>
    <sheetView view="pageBreakPreview" topLeftCell="A4" zoomScale="120" zoomScaleSheetLayoutView="120" workbookViewId="0">
      <pane ySplit="8" topLeftCell="A45" activePane="bottomLeft" state="frozen"/>
      <selection activeCell="A4" sqref="A4"/>
      <selection pane="bottomLeft" activeCell="K52" sqref="K52"/>
    </sheetView>
  </sheetViews>
  <sheetFormatPr defaultRowHeight="19.5" customHeight="1" x14ac:dyDescent="0.25"/>
  <cols>
    <col min="1" max="1" width="9.140625" style="7"/>
    <col min="2" max="2" width="6.42578125" style="7" customWidth="1"/>
    <col min="3" max="3" width="8.85546875" style="7" customWidth="1"/>
    <col min="4" max="4" width="10.5703125" style="7" customWidth="1"/>
    <col min="5" max="5" width="7.140625" style="7" customWidth="1"/>
    <col min="6" max="6" width="13.42578125" style="7" customWidth="1"/>
    <col min="7" max="7" width="11.28515625" style="7" customWidth="1"/>
    <col min="8" max="9" width="11.5703125" style="7" customWidth="1"/>
    <col min="10" max="10" width="10.5703125" style="7" customWidth="1"/>
    <col min="11" max="11" width="12.28515625" style="7" customWidth="1"/>
    <col min="12" max="12" width="11.28515625" style="7" customWidth="1"/>
    <col min="13" max="13" width="10.5703125" style="7" customWidth="1"/>
    <col min="14" max="14" width="11.42578125" style="7" customWidth="1"/>
    <col min="15" max="15" width="10.85546875" style="7" customWidth="1"/>
    <col min="16" max="16" width="9.85546875" style="7" customWidth="1"/>
    <col min="17" max="17" width="10.28515625" style="7" customWidth="1"/>
    <col min="18" max="18" width="8" style="7" customWidth="1"/>
    <col min="19" max="16384" width="9.140625" style="7"/>
  </cols>
  <sheetData>
    <row r="1" spans="1:75" ht="19.5" customHeight="1" x14ac:dyDescent="0.3">
      <c r="A1" s="39" t="s">
        <v>256</v>
      </c>
    </row>
    <row r="3" spans="1:75" ht="37.5" customHeight="1" x14ac:dyDescent="0.3">
      <c r="A3" s="531" t="s">
        <v>252</v>
      </c>
      <c r="B3" s="531"/>
      <c r="C3" s="531"/>
      <c r="D3" s="531"/>
      <c r="E3" s="531"/>
      <c r="F3" s="531"/>
      <c r="G3" s="531"/>
      <c r="H3" s="531"/>
      <c r="I3" s="531"/>
      <c r="J3" s="531"/>
      <c r="K3" s="531"/>
      <c r="L3" s="531"/>
      <c r="M3" s="531"/>
      <c r="N3" s="531"/>
      <c r="O3" s="531"/>
      <c r="P3" s="531"/>
    </row>
    <row r="4" spans="1:75" ht="24" customHeight="1" x14ac:dyDescent="0.3">
      <c r="A4" s="73"/>
      <c r="B4" s="73"/>
      <c r="C4" s="73"/>
      <c r="D4" s="73"/>
      <c r="E4" s="73"/>
      <c r="F4" s="73"/>
      <c r="G4" s="73"/>
      <c r="H4" s="73"/>
      <c r="I4" s="73"/>
      <c r="J4" s="73"/>
      <c r="K4" s="73"/>
      <c r="L4" s="73"/>
      <c r="M4" s="73"/>
      <c r="N4" s="73"/>
      <c r="O4" s="73"/>
      <c r="P4" s="73"/>
    </row>
    <row r="5" spans="1:75" ht="25.5" customHeight="1" thickBot="1" x14ac:dyDescent="0.3">
      <c r="A5" s="532" t="s">
        <v>38</v>
      </c>
      <c r="B5" s="532"/>
      <c r="C5" s="532"/>
      <c r="D5" s="532"/>
      <c r="E5" s="532"/>
      <c r="F5" s="532"/>
      <c r="G5" s="532"/>
      <c r="H5" s="563"/>
      <c r="I5" s="563"/>
      <c r="J5" s="58"/>
    </row>
    <row r="6" spans="1:75" ht="19.5" customHeight="1" thickBot="1" x14ac:dyDescent="0.3">
      <c r="A6" s="475" t="s">
        <v>2</v>
      </c>
      <c r="B6" s="476"/>
      <c r="C6" s="476"/>
      <c r="D6" s="477"/>
      <c r="E6" s="533" t="s">
        <v>27</v>
      </c>
      <c r="F6" s="533" t="s">
        <v>104</v>
      </c>
      <c r="G6" s="533" t="s">
        <v>103</v>
      </c>
      <c r="H6" s="525" t="s">
        <v>243</v>
      </c>
      <c r="I6" s="526"/>
      <c r="J6" s="526"/>
      <c r="K6" s="526"/>
      <c r="L6" s="526"/>
      <c r="M6" s="526"/>
      <c r="N6" s="526"/>
      <c r="O6" s="526"/>
      <c r="P6" s="526"/>
      <c r="Q6" s="526"/>
      <c r="R6" s="526"/>
      <c r="S6" s="526"/>
      <c r="T6" s="526"/>
      <c r="U6" s="526"/>
      <c r="V6" s="527"/>
    </row>
    <row r="7" spans="1:75" ht="19.5" customHeight="1" thickBot="1" x14ac:dyDescent="0.3">
      <c r="A7" s="478"/>
      <c r="B7" s="479"/>
      <c r="C7" s="479"/>
      <c r="D7" s="480"/>
      <c r="E7" s="534"/>
      <c r="F7" s="534"/>
      <c r="G7" s="534"/>
      <c r="H7" s="536" t="s">
        <v>241</v>
      </c>
      <c r="I7" s="537"/>
      <c r="J7" s="538"/>
      <c r="K7" s="525" t="s">
        <v>247</v>
      </c>
      <c r="L7" s="526"/>
      <c r="M7" s="527"/>
      <c r="N7" s="525" t="s">
        <v>247</v>
      </c>
      <c r="O7" s="526"/>
      <c r="P7" s="527"/>
      <c r="Q7" s="525" t="s">
        <v>247</v>
      </c>
      <c r="R7" s="526"/>
      <c r="S7" s="527"/>
      <c r="T7" s="525" t="s">
        <v>247</v>
      </c>
      <c r="U7" s="526"/>
      <c r="V7" s="527"/>
    </row>
    <row r="8" spans="1:75" ht="19.5" customHeight="1" thickBot="1" x14ac:dyDescent="0.3">
      <c r="A8" s="478"/>
      <c r="B8" s="479"/>
      <c r="C8" s="479"/>
      <c r="D8" s="480"/>
      <c r="E8" s="534"/>
      <c r="F8" s="534"/>
      <c r="G8" s="534"/>
      <c r="H8" s="539"/>
      <c r="I8" s="540"/>
      <c r="J8" s="541"/>
      <c r="K8" s="525" t="s">
        <v>286</v>
      </c>
      <c r="L8" s="526"/>
      <c r="M8" s="527"/>
      <c r="N8" s="525" t="s">
        <v>288</v>
      </c>
      <c r="O8" s="526"/>
      <c r="P8" s="527"/>
      <c r="Q8" s="525" t="s">
        <v>393</v>
      </c>
      <c r="R8" s="526"/>
      <c r="S8" s="527"/>
      <c r="T8" s="525" t="s">
        <v>245</v>
      </c>
      <c r="U8" s="526"/>
      <c r="V8" s="527"/>
    </row>
    <row r="9" spans="1:75" ht="66.75" customHeight="1" thickBot="1" x14ac:dyDescent="0.3">
      <c r="A9" s="478"/>
      <c r="B9" s="479"/>
      <c r="C9" s="479"/>
      <c r="D9" s="480"/>
      <c r="E9" s="534"/>
      <c r="F9" s="534"/>
      <c r="G9" s="534"/>
      <c r="H9" s="542"/>
      <c r="I9" s="543"/>
      <c r="J9" s="544"/>
      <c r="K9" s="551" t="s">
        <v>287</v>
      </c>
      <c r="L9" s="552"/>
      <c r="M9" s="553"/>
      <c r="N9" s="545" t="s">
        <v>289</v>
      </c>
      <c r="O9" s="546"/>
      <c r="P9" s="547"/>
      <c r="Q9" s="564" t="s">
        <v>394</v>
      </c>
      <c r="R9" s="565"/>
      <c r="S9" s="566"/>
      <c r="T9" s="525" t="s">
        <v>246</v>
      </c>
      <c r="U9" s="526"/>
      <c r="V9" s="527"/>
    </row>
    <row r="10" spans="1:75" ht="18.75" customHeight="1" x14ac:dyDescent="0.25">
      <c r="A10" s="478"/>
      <c r="B10" s="479"/>
      <c r="C10" s="479"/>
      <c r="D10" s="480"/>
      <c r="E10" s="534"/>
      <c r="F10" s="534"/>
      <c r="G10" s="534"/>
      <c r="H10" s="67" t="s">
        <v>274</v>
      </c>
      <c r="I10" s="67" t="s">
        <v>275</v>
      </c>
      <c r="J10" s="67" t="s">
        <v>276</v>
      </c>
      <c r="K10" s="67" t="s">
        <v>274</v>
      </c>
      <c r="L10" s="67" t="s">
        <v>275</v>
      </c>
      <c r="M10" s="67" t="s">
        <v>276</v>
      </c>
      <c r="N10" s="67" t="s">
        <v>274</v>
      </c>
      <c r="O10" s="67" t="s">
        <v>283</v>
      </c>
      <c r="P10" s="67" t="s">
        <v>290</v>
      </c>
      <c r="Q10" s="67" t="s">
        <v>274</v>
      </c>
      <c r="R10" s="67" t="s">
        <v>275</v>
      </c>
      <c r="S10" s="67" t="s">
        <v>276</v>
      </c>
      <c r="T10" s="67" t="s">
        <v>242</v>
      </c>
      <c r="U10" s="67" t="s">
        <v>242</v>
      </c>
      <c r="V10" s="67" t="s">
        <v>242</v>
      </c>
    </row>
    <row r="11" spans="1:75" ht="44.25" customHeight="1" thickBot="1" x14ac:dyDescent="0.3">
      <c r="A11" s="481"/>
      <c r="B11" s="482"/>
      <c r="C11" s="482"/>
      <c r="D11" s="483"/>
      <c r="E11" s="535"/>
      <c r="F11" s="535"/>
      <c r="G11" s="535"/>
      <c r="H11" s="68" t="s">
        <v>39</v>
      </c>
      <c r="I11" s="68" t="s">
        <v>101</v>
      </c>
      <c r="J11" s="68" t="s">
        <v>102</v>
      </c>
      <c r="K11" s="68" t="s">
        <v>39</v>
      </c>
      <c r="L11" s="68" t="s">
        <v>101</v>
      </c>
      <c r="M11" s="68" t="s">
        <v>102</v>
      </c>
      <c r="N11" s="68" t="s">
        <v>39</v>
      </c>
      <c r="O11" s="68" t="s">
        <v>101</v>
      </c>
      <c r="P11" s="68" t="s">
        <v>102</v>
      </c>
      <c r="Q11" s="68" t="s">
        <v>39</v>
      </c>
      <c r="R11" s="68" t="s">
        <v>101</v>
      </c>
      <c r="S11" s="68" t="s">
        <v>102</v>
      </c>
      <c r="T11" s="68" t="s">
        <v>39</v>
      </c>
      <c r="U11" s="68" t="s">
        <v>101</v>
      </c>
      <c r="V11" s="68" t="s">
        <v>102</v>
      </c>
    </row>
    <row r="12" spans="1:75" ht="13.5" customHeight="1" thickBot="1" x14ac:dyDescent="0.3">
      <c r="A12" s="257">
        <v>1</v>
      </c>
      <c r="B12" s="258"/>
      <c r="C12" s="258"/>
      <c r="D12" s="259"/>
      <c r="E12" s="82">
        <v>2</v>
      </c>
      <c r="F12" s="82">
        <v>3</v>
      </c>
      <c r="G12" s="83">
        <v>4</v>
      </c>
      <c r="H12" s="83">
        <v>5</v>
      </c>
      <c r="I12" s="83">
        <v>6</v>
      </c>
      <c r="J12" s="83">
        <v>7</v>
      </c>
      <c r="K12" s="83">
        <v>8</v>
      </c>
      <c r="L12" s="83">
        <v>9</v>
      </c>
      <c r="M12" s="83">
        <v>10</v>
      </c>
      <c r="N12" s="83">
        <v>11</v>
      </c>
      <c r="O12" s="83">
        <v>12</v>
      </c>
      <c r="P12" s="83">
        <v>13</v>
      </c>
      <c r="Q12" s="83">
        <v>14</v>
      </c>
      <c r="R12" s="83">
        <v>15</v>
      </c>
      <c r="S12" s="83">
        <v>16</v>
      </c>
      <c r="T12" s="83">
        <v>17</v>
      </c>
      <c r="U12" s="83">
        <v>18</v>
      </c>
      <c r="V12" s="83">
        <v>19</v>
      </c>
    </row>
    <row r="13" spans="1:75" s="28" customFormat="1" ht="34.5" customHeight="1" x14ac:dyDescent="0.25">
      <c r="A13" s="472" t="s">
        <v>244</v>
      </c>
      <c r="B13" s="472"/>
      <c r="C13" s="472"/>
      <c r="D13" s="472"/>
      <c r="E13" s="86" t="s">
        <v>28</v>
      </c>
      <c r="F13" s="86" t="s">
        <v>9</v>
      </c>
      <c r="G13" s="86" t="s">
        <v>9</v>
      </c>
      <c r="H13" s="111">
        <f>K13+N13</f>
        <v>1177179.47</v>
      </c>
      <c r="I13" s="111">
        <f>L13+O13</f>
        <v>0</v>
      </c>
      <c r="J13" s="111">
        <f>M13+P13</f>
        <v>0</v>
      </c>
      <c r="K13" s="111">
        <v>759431.78</v>
      </c>
      <c r="L13" s="111"/>
      <c r="M13" s="112"/>
      <c r="N13" s="112">
        <v>417747.69</v>
      </c>
      <c r="O13" s="112"/>
      <c r="P13" s="112"/>
      <c r="Q13" s="112"/>
      <c r="R13" s="112"/>
      <c r="S13" s="113"/>
      <c r="T13" s="113"/>
      <c r="U13" s="113"/>
      <c r="V13" s="114"/>
    </row>
    <row r="14" spans="1:75" s="28" customFormat="1" ht="30" customHeight="1" x14ac:dyDescent="0.25">
      <c r="A14" s="472" t="s">
        <v>254</v>
      </c>
      <c r="B14" s="472"/>
      <c r="C14" s="472"/>
      <c r="D14" s="472"/>
      <c r="E14" s="86" t="s">
        <v>160</v>
      </c>
      <c r="F14" s="87" t="s">
        <v>9</v>
      </c>
      <c r="G14" s="87" t="s">
        <v>9</v>
      </c>
      <c r="H14" s="111">
        <f t="shared" ref="H14:H105" si="0">K14+N14</f>
        <v>0</v>
      </c>
      <c r="I14" s="111">
        <f t="shared" ref="I14:I105" si="1">L14+O14</f>
        <v>0</v>
      </c>
      <c r="J14" s="111">
        <f t="shared" ref="J14:J105" si="2">M14+P14</f>
        <v>0</v>
      </c>
      <c r="K14" s="115"/>
      <c r="L14" s="115"/>
      <c r="M14" s="115"/>
      <c r="N14" s="115"/>
      <c r="O14" s="115"/>
      <c r="P14" s="115"/>
      <c r="Q14" s="115"/>
      <c r="R14" s="115"/>
      <c r="S14" s="116"/>
      <c r="T14" s="116"/>
      <c r="U14" s="116"/>
      <c r="V14" s="116"/>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s="28" customFormat="1" ht="15.75" customHeight="1" x14ac:dyDescent="0.25">
      <c r="A15" s="472" t="s">
        <v>105</v>
      </c>
      <c r="B15" s="472"/>
      <c r="C15" s="472"/>
      <c r="D15" s="472"/>
      <c r="E15" s="86">
        <v>1000</v>
      </c>
      <c r="F15" s="85"/>
      <c r="G15" s="85"/>
      <c r="H15" s="117">
        <f>K15+N15+Q15</f>
        <v>7622000</v>
      </c>
      <c r="I15" s="117">
        <f t="shared" si="1"/>
        <v>9220000</v>
      </c>
      <c r="J15" s="117">
        <f t="shared" si="2"/>
        <v>9220000</v>
      </c>
      <c r="K15" s="117">
        <f>K16+K19+K41</f>
        <v>6702000</v>
      </c>
      <c r="L15" s="117">
        <f>L16+L19</f>
        <v>8600000</v>
      </c>
      <c r="M15" s="117">
        <f>M16+M19</f>
        <v>8600000</v>
      </c>
      <c r="N15" s="117">
        <f>N16+N19+N26</f>
        <v>620000</v>
      </c>
      <c r="O15" s="117">
        <f>O16+O19</f>
        <v>620000</v>
      </c>
      <c r="P15" s="117">
        <f>P16+P19</f>
        <v>620000</v>
      </c>
      <c r="Q15" s="117">
        <f>Q16+Q19+Q26</f>
        <v>300000</v>
      </c>
      <c r="R15" s="117">
        <f>R16+R19</f>
        <v>0</v>
      </c>
      <c r="S15" s="118">
        <f>S16+S19</f>
        <v>0</v>
      </c>
      <c r="T15" s="118"/>
      <c r="U15" s="118"/>
      <c r="V15" s="118"/>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row>
    <row r="16" spans="1:75" s="28" customFormat="1" ht="14.25" customHeight="1" x14ac:dyDescent="0.25">
      <c r="A16" s="319" t="s">
        <v>106</v>
      </c>
      <c r="B16" s="319"/>
      <c r="C16" s="319"/>
      <c r="D16" s="319"/>
      <c r="E16" s="81">
        <v>1100</v>
      </c>
      <c r="F16" s="84">
        <v>120</v>
      </c>
      <c r="G16" s="84"/>
      <c r="H16" s="115">
        <f t="shared" si="0"/>
        <v>200000</v>
      </c>
      <c r="I16" s="115">
        <f t="shared" si="1"/>
        <v>200000</v>
      </c>
      <c r="J16" s="115">
        <f t="shared" si="2"/>
        <v>200000</v>
      </c>
      <c r="K16" s="115">
        <v>200000</v>
      </c>
      <c r="L16" s="115">
        <v>200000</v>
      </c>
      <c r="M16" s="115">
        <v>200000</v>
      </c>
      <c r="N16" s="115"/>
      <c r="O16" s="115"/>
      <c r="P16" s="115"/>
      <c r="Q16" s="115"/>
      <c r="R16" s="115"/>
      <c r="S16" s="116"/>
      <c r="T16" s="116"/>
      <c r="U16" s="116"/>
      <c r="V16" s="116"/>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1:75" s="28" customFormat="1" ht="15.75" customHeight="1" x14ac:dyDescent="0.25">
      <c r="A17" s="319" t="s">
        <v>24</v>
      </c>
      <c r="B17" s="319"/>
      <c r="C17" s="319"/>
      <c r="D17" s="319"/>
      <c r="E17" s="76"/>
      <c r="F17" s="76"/>
      <c r="G17" s="84"/>
      <c r="H17" s="115">
        <f t="shared" si="0"/>
        <v>0</v>
      </c>
      <c r="I17" s="115">
        <f t="shared" si="1"/>
        <v>0</v>
      </c>
      <c r="J17" s="115">
        <f t="shared" si="2"/>
        <v>0</v>
      </c>
      <c r="K17" s="115"/>
      <c r="L17" s="115"/>
      <c r="M17" s="115"/>
      <c r="N17" s="115"/>
      <c r="O17" s="115"/>
      <c r="P17" s="115"/>
      <c r="Q17" s="115"/>
      <c r="R17" s="115"/>
      <c r="S17" s="116"/>
      <c r="T17" s="116"/>
      <c r="U17" s="116"/>
      <c r="V17" s="116"/>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1:75" s="28" customFormat="1" ht="15" customHeight="1" x14ac:dyDescent="0.25">
      <c r="A18" s="319" t="s">
        <v>369</v>
      </c>
      <c r="B18" s="319"/>
      <c r="C18" s="319"/>
      <c r="D18" s="319"/>
      <c r="E18" s="81">
        <v>1110</v>
      </c>
      <c r="F18" s="84">
        <v>121</v>
      </c>
      <c r="G18" s="84"/>
      <c r="H18" s="115">
        <f t="shared" si="0"/>
        <v>200000</v>
      </c>
      <c r="I18" s="115">
        <f t="shared" si="1"/>
        <v>200000</v>
      </c>
      <c r="J18" s="115">
        <f t="shared" si="2"/>
        <v>200000</v>
      </c>
      <c r="K18" s="115">
        <v>200000</v>
      </c>
      <c r="L18" s="115">
        <v>200000</v>
      </c>
      <c r="M18" s="115">
        <v>200000</v>
      </c>
      <c r="N18" s="115"/>
      <c r="O18" s="115"/>
      <c r="P18" s="115"/>
      <c r="Q18" s="115"/>
      <c r="R18" s="115"/>
      <c r="S18" s="116"/>
      <c r="T18" s="116"/>
      <c r="U18" s="116"/>
      <c r="V18" s="116"/>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1:75" s="28" customFormat="1" ht="33" customHeight="1" x14ac:dyDescent="0.25">
      <c r="A19" s="319" t="s">
        <v>107</v>
      </c>
      <c r="B19" s="319"/>
      <c r="C19" s="319"/>
      <c r="D19" s="319"/>
      <c r="E19" s="81">
        <v>1200</v>
      </c>
      <c r="F19" s="84">
        <v>130</v>
      </c>
      <c r="G19" s="84"/>
      <c r="H19" s="115">
        <f t="shared" si="0"/>
        <v>7120000</v>
      </c>
      <c r="I19" s="115">
        <f t="shared" si="1"/>
        <v>9020000</v>
      </c>
      <c r="J19" s="115">
        <f t="shared" si="2"/>
        <v>9020000</v>
      </c>
      <c r="K19" s="115">
        <f>8400000-1900000</f>
        <v>6500000</v>
      </c>
      <c r="L19" s="115">
        <v>8400000</v>
      </c>
      <c r="M19" s="115">
        <v>8400000</v>
      </c>
      <c r="N19" s="115">
        <v>620000</v>
      </c>
      <c r="O19" s="115">
        <v>620000</v>
      </c>
      <c r="P19" s="115">
        <v>620000</v>
      </c>
      <c r="Q19" s="115"/>
      <c r="R19" s="115"/>
      <c r="S19" s="116"/>
      <c r="T19" s="116"/>
      <c r="U19" s="116"/>
      <c r="V19" s="116"/>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row>
    <row r="20" spans="1:75" s="28" customFormat="1" ht="61.5" customHeight="1" x14ac:dyDescent="0.25">
      <c r="A20" s="319" t="s">
        <v>261</v>
      </c>
      <c r="B20" s="319"/>
      <c r="C20" s="319"/>
      <c r="D20" s="319"/>
      <c r="E20" s="81">
        <v>1210</v>
      </c>
      <c r="F20" s="84">
        <v>130</v>
      </c>
      <c r="G20" s="84"/>
      <c r="H20" s="115">
        <f t="shared" si="0"/>
        <v>0</v>
      </c>
      <c r="I20" s="115">
        <f t="shared" si="1"/>
        <v>0</v>
      </c>
      <c r="J20" s="115">
        <f t="shared" si="2"/>
        <v>0</v>
      </c>
      <c r="K20" s="115"/>
      <c r="L20" s="115"/>
      <c r="M20" s="115"/>
      <c r="N20" s="115"/>
      <c r="O20" s="115"/>
      <c r="P20" s="115"/>
      <c r="Q20" s="115"/>
      <c r="R20" s="115"/>
      <c r="S20" s="116"/>
      <c r="T20" s="116"/>
      <c r="U20" s="116"/>
      <c r="V20" s="116"/>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row>
    <row r="21" spans="1:75" s="28" customFormat="1" ht="50.25" customHeight="1" x14ac:dyDescent="0.25">
      <c r="A21" s="319" t="s">
        <v>262</v>
      </c>
      <c r="B21" s="319"/>
      <c r="C21" s="319"/>
      <c r="D21" s="319"/>
      <c r="E21" s="81">
        <v>1220</v>
      </c>
      <c r="F21" s="84">
        <v>130</v>
      </c>
      <c r="G21" s="84"/>
      <c r="H21" s="115">
        <f t="shared" si="0"/>
        <v>0</v>
      </c>
      <c r="I21" s="115">
        <f t="shared" si="1"/>
        <v>0</v>
      </c>
      <c r="J21" s="115">
        <f t="shared" si="2"/>
        <v>0</v>
      </c>
      <c r="K21" s="115"/>
      <c r="L21" s="115"/>
      <c r="M21" s="115"/>
      <c r="N21" s="115"/>
      <c r="O21" s="115"/>
      <c r="P21" s="115"/>
      <c r="Q21" s="115"/>
      <c r="R21" s="115"/>
      <c r="S21" s="116"/>
      <c r="T21" s="116"/>
      <c r="U21" s="116"/>
      <c r="V21" s="116"/>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row>
    <row r="22" spans="1:75" s="28" customFormat="1" ht="11.1" customHeight="1" x14ac:dyDescent="0.25">
      <c r="A22" s="319" t="s">
        <v>381</v>
      </c>
      <c r="B22" s="319"/>
      <c r="C22" s="319"/>
      <c r="D22" s="319"/>
      <c r="E22" s="84">
        <v>1230</v>
      </c>
      <c r="F22" s="84">
        <v>130</v>
      </c>
      <c r="G22" s="84">
        <v>131</v>
      </c>
      <c r="H22" s="115">
        <f t="shared" si="0"/>
        <v>7120000</v>
      </c>
      <c r="I22" s="115">
        <f t="shared" si="1"/>
        <v>9020000</v>
      </c>
      <c r="J22" s="115">
        <f t="shared" si="2"/>
        <v>9020000</v>
      </c>
      <c r="K22" s="115">
        <f>K19</f>
        <v>6500000</v>
      </c>
      <c r="L22" s="115">
        <f t="shared" ref="L22:Q22" si="3">L19</f>
        <v>8400000</v>
      </c>
      <c r="M22" s="115">
        <f t="shared" si="3"/>
        <v>8400000</v>
      </c>
      <c r="N22" s="115">
        <f t="shared" si="3"/>
        <v>620000</v>
      </c>
      <c r="O22" s="115">
        <f t="shared" si="3"/>
        <v>620000</v>
      </c>
      <c r="P22" s="115">
        <f t="shared" si="3"/>
        <v>620000</v>
      </c>
      <c r="Q22" s="115">
        <f t="shared" si="3"/>
        <v>0</v>
      </c>
      <c r="R22" s="115"/>
      <c r="S22" s="116"/>
      <c r="T22" s="116"/>
      <c r="U22" s="116"/>
      <c r="V22" s="116"/>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row>
    <row r="23" spans="1:75" s="28" customFormat="1" ht="26.25" customHeight="1" x14ac:dyDescent="0.25">
      <c r="A23" s="319" t="s">
        <v>108</v>
      </c>
      <c r="B23" s="319"/>
      <c r="C23" s="319"/>
      <c r="D23" s="319"/>
      <c r="E23" s="81">
        <v>1300</v>
      </c>
      <c r="F23" s="84">
        <v>140</v>
      </c>
      <c r="G23" s="84"/>
      <c r="H23" s="115">
        <f t="shared" si="0"/>
        <v>0</v>
      </c>
      <c r="I23" s="115">
        <f t="shared" si="1"/>
        <v>0</v>
      </c>
      <c r="J23" s="115">
        <f t="shared" si="2"/>
        <v>0</v>
      </c>
      <c r="K23" s="115"/>
      <c r="L23" s="115"/>
      <c r="M23" s="115"/>
      <c r="N23" s="115"/>
      <c r="O23" s="115"/>
      <c r="P23" s="115"/>
      <c r="Q23" s="115"/>
      <c r="R23" s="115"/>
      <c r="S23" s="116"/>
      <c r="T23" s="116"/>
      <c r="U23" s="116"/>
      <c r="V23" s="116"/>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row>
    <row r="24" spans="1:75" s="28" customFormat="1" ht="11.1" customHeight="1" x14ac:dyDescent="0.25">
      <c r="A24" s="319" t="s">
        <v>24</v>
      </c>
      <c r="B24" s="319"/>
      <c r="C24" s="319"/>
      <c r="D24" s="319"/>
      <c r="E24" s="76"/>
      <c r="F24" s="84"/>
      <c r="G24" s="84"/>
      <c r="H24" s="115">
        <f t="shared" si="0"/>
        <v>0</v>
      </c>
      <c r="I24" s="115">
        <f t="shared" si="1"/>
        <v>0</v>
      </c>
      <c r="J24" s="115">
        <f t="shared" si="2"/>
        <v>0</v>
      </c>
      <c r="K24" s="115"/>
      <c r="L24" s="115"/>
      <c r="M24" s="115"/>
      <c r="N24" s="115"/>
      <c r="O24" s="115"/>
      <c r="P24" s="115"/>
      <c r="Q24" s="115"/>
      <c r="R24" s="115"/>
      <c r="S24" s="116"/>
      <c r="T24" s="116"/>
      <c r="U24" s="116"/>
      <c r="V24" s="116"/>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row>
    <row r="25" spans="1:75" s="28" customFormat="1" ht="13.5" customHeight="1" x14ac:dyDescent="0.25">
      <c r="A25" s="319"/>
      <c r="B25" s="319"/>
      <c r="C25" s="319"/>
      <c r="D25" s="319"/>
      <c r="E25" s="81">
        <v>1310</v>
      </c>
      <c r="F25" s="84">
        <v>140</v>
      </c>
      <c r="G25" s="84"/>
      <c r="H25" s="115">
        <f t="shared" si="0"/>
        <v>0</v>
      </c>
      <c r="I25" s="115">
        <f t="shared" si="1"/>
        <v>0</v>
      </c>
      <c r="J25" s="115">
        <f t="shared" si="2"/>
        <v>0</v>
      </c>
      <c r="K25" s="115"/>
      <c r="L25" s="115"/>
      <c r="M25" s="115"/>
      <c r="N25" s="115"/>
      <c r="O25" s="115"/>
      <c r="P25" s="115"/>
      <c r="Q25" s="115"/>
      <c r="R25" s="115"/>
      <c r="S25" s="116"/>
      <c r="T25" s="116"/>
      <c r="U25" s="116"/>
      <c r="V25" s="116"/>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row>
    <row r="26" spans="1:75" s="28" customFormat="1" ht="18.75" customHeight="1" x14ac:dyDescent="0.25">
      <c r="A26" s="319" t="s">
        <v>109</v>
      </c>
      <c r="B26" s="319"/>
      <c r="C26" s="319"/>
      <c r="D26" s="319"/>
      <c r="E26" s="81">
        <v>1400</v>
      </c>
      <c r="F26" s="84">
        <v>150</v>
      </c>
      <c r="G26" s="84"/>
      <c r="H26" s="115">
        <f>K26+N26+Q26</f>
        <v>300000</v>
      </c>
      <c r="I26" s="115">
        <f t="shared" si="1"/>
        <v>0</v>
      </c>
      <c r="J26" s="115">
        <f t="shared" si="2"/>
        <v>0</v>
      </c>
      <c r="K26" s="115"/>
      <c r="L26" s="115"/>
      <c r="M26" s="115"/>
      <c r="N26" s="115"/>
      <c r="O26" s="115"/>
      <c r="P26" s="115"/>
      <c r="Q26" s="115">
        <f>Q30</f>
        <v>300000</v>
      </c>
      <c r="R26" s="115"/>
      <c r="S26" s="116"/>
      <c r="T26" s="116"/>
      <c r="U26" s="116"/>
      <c r="V26" s="116"/>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row>
    <row r="27" spans="1:75" s="28" customFormat="1" ht="11.1" customHeight="1" x14ac:dyDescent="0.25">
      <c r="A27" s="319" t="s">
        <v>24</v>
      </c>
      <c r="B27" s="319"/>
      <c r="C27" s="319"/>
      <c r="D27" s="319"/>
      <c r="E27" s="76"/>
      <c r="F27" s="76"/>
      <c r="G27" s="84"/>
      <c r="H27" s="115">
        <f t="shared" si="0"/>
        <v>0</v>
      </c>
      <c r="I27" s="115">
        <f t="shared" si="1"/>
        <v>0</v>
      </c>
      <c r="J27" s="115">
        <f t="shared" si="2"/>
        <v>0</v>
      </c>
      <c r="K27" s="115"/>
      <c r="L27" s="115"/>
      <c r="M27" s="115"/>
      <c r="N27" s="115"/>
      <c r="O27" s="115"/>
      <c r="P27" s="115"/>
      <c r="Q27" s="115"/>
      <c r="R27" s="115"/>
      <c r="S27" s="116"/>
      <c r="T27" s="116"/>
      <c r="U27" s="116"/>
      <c r="V27" s="116"/>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row>
    <row r="28" spans="1:75" s="28" customFormat="1" ht="11.1" customHeight="1" x14ac:dyDescent="0.25">
      <c r="A28" s="567" t="s">
        <v>409</v>
      </c>
      <c r="B28" s="568"/>
      <c r="C28" s="568"/>
      <c r="D28" s="569"/>
      <c r="E28" s="84">
        <v>1410</v>
      </c>
      <c r="F28" s="84">
        <v>150</v>
      </c>
      <c r="G28" s="84"/>
      <c r="H28" s="115"/>
      <c r="I28" s="115"/>
      <c r="J28" s="115"/>
      <c r="K28" s="115"/>
      <c r="L28" s="115"/>
      <c r="M28" s="115"/>
      <c r="N28" s="115"/>
      <c r="O28" s="115"/>
      <c r="P28" s="115"/>
      <c r="Q28" s="115"/>
      <c r="R28" s="115"/>
      <c r="S28" s="116"/>
      <c r="T28" s="116"/>
      <c r="U28" s="116"/>
      <c r="V28" s="116"/>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row>
    <row r="29" spans="1:75" s="28" customFormat="1" ht="17.25" customHeight="1" x14ac:dyDescent="0.25">
      <c r="A29" s="505" t="s">
        <v>26</v>
      </c>
      <c r="B29" s="505"/>
      <c r="C29" s="505"/>
      <c r="D29" s="505"/>
      <c r="E29" s="84">
        <v>1420</v>
      </c>
      <c r="F29" s="84">
        <v>150</v>
      </c>
      <c r="G29" s="84"/>
      <c r="H29" s="115"/>
      <c r="I29" s="115"/>
      <c r="J29" s="115"/>
      <c r="K29" s="115"/>
      <c r="L29" s="115"/>
      <c r="M29" s="115"/>
      <c r="N29" s="115"/>
      <c r="O29" s="115"/>
      <c r="P29" s="115"/>
      <c r="Q29" s="115"/>
      <c r="R29" s="115"/>
      <c r="S29" s="116"/>
      <c r="T29" s="116"/>
      <c r="U29" s="116"/>
      <c r="V29" s="116"/>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row>
    <row r="30" spans="1:75" s="28" customFormat="1" ht="11.1" customHeight="1" x14ac:dyDescent="0.25">
      <c r="A30" s="319" t="s">
        <v>388</v>
      </c>
      <c r="B30" s="319"/>
      <c r="C30" s="319"/>
      <c r="D30" s="319"/>
      <c r="E30" s="200">
        <v>1430</v>
      </c>
      <c r="F30" s="84">
        <v>150</v>
      </c>
      <c r="G30" s="84">
        <v>155</v>
      </c>
      <c r="H30" s="115">
        <f>K30+N30+Q30</f>
        <v>300000</v>
      </c>
      <c r="I30" s="115">
        <f t="shared" si="1"/>
        <v>0</v>
      </c>
      <c r="J30" s="115">
        <f t="shared" si="2"/>
        <v>0</v>
      </c>
      <c r="K30" s="115"/>
      <c r="L30" s="115"/>
      <c r="M30" s="115"/>
      <c r="N30" s="115"/>
      <c r="O30" s="115"/>
      <c r="P30" s="115"/>
      <c r="Q30" s="115">
        <f>200000+100000</f>
        <v>300000</v>
      </c>
      <c r="R30" s="115"/>
      <c r="S30" s="116"/>
      <c r="T30" s="116"/>
      <c r="U30" s="116"/>
      <c r="V30" s="116"/>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row>
    <row r="31" spans="1:75" s="28" customFormat="1" ht="14.25" customHeight="1" x14ac:dyDescent="0.25">
      <c r="A31" s="319" t="s">
        <v>110</v>
      </c>
      <c r="B31" s="319"/>
      <c r="C31" s="319"/>
      <c r="D31" s="319"/>
      <c r="E31" s="81">
        <v>1500</v>
      </c>
      <c r="F31" s="84">
        <v>180</v>
      </c>
      <c r="G31" s="84"/>
      <c r="H31" s="115">
        <f t="shared" si="0"/>
        <v>0</v>
      </c>
      <c r="I31" s="115">
        <f t="shared" si="1"/>
        <v>0</v>
      </c>
      <c r="J31" s="115">
        <f t="shared" si="2"/>
        <v>0</v>
      </c>
      <c r="K31" s="115"/>
      <c r="L31" s="115"/>
      <c r="M31" s="115"/>
      <c r="N31" s="115"/>
      <c r="O31" s="115"/>
      <c r="P31" s="115"/>
      <c r="Q31" s="115"/>
      <c r="R31" s="115"/>
      <c r="S31" s="116"/>
      <c r="T31" s="116"/>
      <c r="U31" s="116"/>
      <c r="V31" s="116"/>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row>
    <row r="32" spans="1:75" s="28" customFormat="1" ht="11.1" customHeight="1" x14ac:dyDescent="0.25">
      <c r="A32" s="319" t="s">
        <v>24</v>
      </c>
      <c r="B32" s="319"/>
      <c r="C32" s="319"/>
      <c r="D32" s="319"/>
      <c r="E32" s="76"/>
      <c r="F32" s="76"/>
      <c r="G32" s="84"/>
      <c r="H32" s="115">
        <f t="shared" si="0"/>
        <v>0</v>
      </c>
      <c r="I32" s="115">
        <f t="shared" si="1"/>
        <v>0</v>
      </c>
      <c r="J32" s="115">
        <f t="shared" si="2"/>
        <v>0</v>
      </c>
      <c r="K32" s="115"/>
      <c r="L32" s="115"/>
      <c r="M32" s="115"/>
      <c r="N32" s="115"/>
      <c r="O32" s="115"/>
      <c r="P32" s="115"/>
      <c r="Q32" s="115"/>
      <c r="R32" s="115"/>
      <c r="S32" s="116"/>
      <c r="T32" s="116"/>
      <c r="U32" s="116"/>
      <c r="V32" s="116"/>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row>
    <row r="33" spans="1:75" s="28" customFormat="1" ht="15" customHeight="1" x14ac:dyDescent="0.25">
      <c r="A33" s="319"/>
      <c r="B33" s="319"/>
      <c r="C33" s="319"/>
      <c r="D33" s="319"/>
      <c r="E33" s="81"/>
      <c r="F33" s="84">
        <v>180</v>
      </c>
      <c r="G33" s="84"/>
      <c r="H33" s="115">
        <f t="shared" si="0"/>
        <v>0</v>
      </c>
      <c r="I33" s="115">
        <f t="shared" si="1"/>
        <v>0</v>
      </c>
      <c r="J33" s="115">
        <f t="shared" si="2"/>
        <v>0</v>
      </c>
      <c r="K33" s="115"/>
      <c r="L33" s="115"/>
      <c r="M33" s="115"/>
      <c r="N33" s="115"/>
      <c r="O33" s="115"/>
      <c r="P33" s="115"/>
      <c r="Q33" s="115"/>
      <c r="R33" s="115"/>
      <c r="S33" s="116"/>
      <c r="T33" s="116"/>
      <c r="U33" s="116"/>
      <c r="V33" s="116"/>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row>
    <row r="34" spans="1:75" s="28" customFormat="1" ht="12.75" customHeight="1" x14ac:dyDescent="0.25">
      <c r="A34" s="319"/>
      <c r="B34" s="319"/>
      <c r="C34" s="319"/>
      <c r="D34" s="319"/>
      <c r="E34" s="81"/>
      <c r="F34" s="84">
        <v>180</v>
      </c>
      <c r="G34" s="84"/>
      <c r="H34" s="115">
        <f t="shared" si="0"/>
        <v>0</v>
      </c>
      <c r="I34" s="115">
        <f t="shared" si="1"/>
        <v>0</v>
      </c>
      <c r="J34" s="115">
        <f t="shared" si="2"/>
        <v>0</v>
      </c>
      <c r="K34" s="115"/>
      <c r="L34" s="115"/>
      <c r="M34" s="115"/>
      <c r="N34" s="115"/>
      <c r="O34" s="115"/>
      <c r="P34" s="115"/>
      <c r="Q34" s="115"/>
      <c r="R34" s="115"/>
      <c r="S34" s="116"/>
      <c r="T34" s="116"/>
      <c r="U34" s="116"/>
      <c r="V34" s="116"/>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row>
    <row r="35" spans="1:75" s="28" customFormat="1" ht="11.1" customHeight="1" x14ac:dyDescent="0.25">
      <c r="A35" s="319"/>
      <c r="B35" s="319"/>
      <c r="C35" s="319"/>
      <c r="D35" s="319"/>
      <c r="E35" s="76"/>
      <c r="F35" s="76"/>
      <c r="G35" s="84"/>
      <c r="H35" s="115">
        <f t="shared" si="0"/>
        <v>0</v>
      </c>
      <c r="I35" s="115">
        <f t="shared" si="1"/>
        <v>0</v>
      </c>
      <c r="J35" s="115">
        <f t="shared" si="2"/>
        <v>0</v>
      </c>
      <c r="K35" s="115"/>
      <c r="L35" s="115"/>
      <c r="M35" s="115"/>
      <c r="N35" s="115"/>
      <c r="O35" s="115"/>
      <c r="P35" s="115"/>
      <c r="Q35" s="115"/>
      <c r="R35" s="115"/>
      <c r="S35" s="116"/>
      <c r="T35" s="116"/>
      <c r="U35" s="116"/>
      <c r="V35" s="116"/>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row>
    <row r="36" spans="1:75" s="28" customFormat="1" ht="17.25" customHeight="1" x14ac:dyDescent="0.25">
      <c r="A36" s="319" t="s">
        <v>112</v>
      </c>
      <c r="B36" s="319"/>
      <c r="C36" s="319"/>
      <c r="D36" s="319"/>
      <c r="E36" s="81">
        <v>1900</v>
      </c>
      <c r="F36" s="76"/>
      <c r="G36" s="84"/>
      <c r="H36" s="115">
        <f t="shared" si="0"/>
        <v>0</v>
      </c>
      <c r="I36" s="115">
        <f t="shared" si="1"/>
        <v>0</v>
      </c>
      <c r="J36" s="115">
        <f t="shared" si="2"/>
        <v>0</v>
      </c>
      <c r="K36" s="115"/>
      <c r="L36" s="115"/>
      <c r="M36" s="115"/>
      <c r="N36" s="115"/>
      <c r="O36" s="115"/>
      <c r="P36" s="115"/>
      <c r="Q36" s="115"/>
      <c r="R36" s="115"/>
      <c r="S36" s="116"/>
      <c r="T36" s="116"/>
      <c r="U36" s="116"/>
      <c r="V36" s="116"/>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row>
    <row r="37" spans="1:75" s="28" customFormat="1" ht="14.25" customHeight="1" x14ac:dyDescent="0.25">
      <c r="A37" s="319" t="s">
        <v>24</v>
      </c>
      <c r="B37" s="319"/>
      <c r="C37" s="319"/>
      <c r="D37" s="319"/>
      <c r="E37" s="76"/>
      <c r="F37" s="76"/>
      <c r="G37" s="84"/>
      <c r="H37" s="115">
        <f t="shared" si="0"/>
        <v>0</v>
      </c>
      <c r="I37" s="115">
        <f t="shared" si="1"/>
        <v>0</v>
      </c>
      <c r="J37" s="115">
        <f t="shared" si="2"/>
        <v>0</v>
      </c>
      <c r="K37" s="115"/>
      <c r="L37" s="115"/>
      <c r="M37" s="115"/>
      <c r="N37" s="115"/>
      <c r="O37" s="115"/>
      <c r="P37" s="115"/>
      <c r="Q37" s="115"/>
      <c r="R37" s="115"/>
      <c r="S37" s="116"/>
      <c r="T37" s="116"/>
      <c r="U37" s="116"/>
      <c r="V37" s="116"/>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row>
    <row r="38" spans="1:75" s="28" customFormat="1" ht="11.1" customHeight="1" x14ac:dyDescent="0.25">
      <c r="A38" s="319"/>
      <c r="B38" s="319"/>
      <c r="C38" s="319"/>
      <c r="D38" s="319"/>
      <c r="E38" s="76"/>
      <c r="F38" s="76"/>
      <c r="G38" s="84"/>
      <c r="H38" s="115">
        <f t="shared" si="0"/>
        <v>0</v>
      </c>
      <c r="I38" s="115">
        <f t="shared" si="1"/>
        <v>0</v>
      </c>
      <c r="J38" s="115">
        <f t="shared" si="2"/>
        <v>0</v>
      </c>
      <c r="K38" s="115"/>
      <c r="L38" s="115"/>
      <c r="M38" s="115"/>
      <c r="N38" s="115"/>
      <c r="O38" s="115"/>
      <c r="P38" s="115"/>
      <c r="Q38" s="115"/>
      <c r="R38" s="115"/>
      <c r="S38" s="116"/>
      <c r="T38" s="116"/>
      <c r="U38" s="116"/>
      <c r="V38" s="116"/>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row>
    <row r="39" spans="1:75" s="28" customFormat="1" ht="11.1" customHeight="1" x14ac:dyDescent="0.25">
      <c r="A39" s="319"/>
      <c r="B39" s="319"/>
      <c r="C39" s="319"/>
      <c r="D39" s="319"/>
      <c r="E39" s="76"/>
      <c r="F39" s="76"/>
      <c r="G39" s="84"/>
      <c r="H39" s="115">
        <f t="shared" si="0"/>
        <v>0</v>
      </c>
      <c r="I39" s="115">
        <f t="shared" si="1"/>
        <v>0</v>
      </c>
      <c r="J39" s="115">
        <f t="shared" si="2"/>
        <v>0</v>
      </c>
      <c r="K39" s="115"/>
      <c r="L39" s="115"/>
      <c r="M39" s="115"/>
      <c r="N39" s="115"/>
      <c r="O39" s="115"/>
      <c r="P39" s="115"/>
      <c r="Q39" s="115"/>
      <c r="R39" s="115"/>
      <c r="S39" s="116"/>
      <c r="T39" s="116"/>
      <c r="U39" s="116"/>
      <c r="V39" s="116"/>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row>
    <row r="40" spans="1:75" s="28" customFormat="1" ht="12.75" customHeight="1" x14ac:dyDescent="0.25">
      <c r="A40" s="319" t="s">
        <v>113</v>
      </c>
      <c r="B40" s="319"/>
      <c r="C40" s="319"/>
      <c r="D40" s="319"/>
      <c r="E40" s="81">
        <v>1980</v>
      </c>
      <c r="F40" s="84" t="s">
        <v>9</v>
      </c>
      <c r="G40" s="84"/>
      <c r="H40" s="117">
        <f t="shared" si="0"/>
        <v>2000</v>
      </c>
      <c r="I40" s="117">
        <f t="shared" si="1"/>
        <v>0</v>
      </c>
      <c r="J40" s="117">
        <f t="shared" si="2"/>
        <v>0</v>
      </c>
      <c r="K40" s="117">
        <f>K41</f>
        <v>2000</v>
      </c>
      <c r="L40" s="115"/>
      <c r="M40" s="115"/>
      <c r="N40" s="115"/>
      <c r="O40" s="115"/>
      <c r="P40" s="115"/>
      <c r="Q40" s="115"/>
      <c r="R40" s="115"/>
      <c r="S40" s="116"/>
      <c r="T40" s="116"/>
      <c r="U40" s="116"/>
      <c r="V40" s="116"/>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row>
    <row r="41" spans="1:75" s="28" customFormat="1" ht="33.75" customHeight="1" x14ac:dyDescent="0.25">
      <c r="A41" s="319" t="s">
        <v>114</v>
      </c>
      <c r="B41" s="319"/>
      <c r="C41" s="319"/>
      <c r="D41" s="319"/>
      <c r="E41" s="81">
        <v>1981</v>
      </c>
      <c r="F41" s="81">
        <v>510</v>
      </c>
      <c r="G41" s="84"/>
      <c r="H41" s="115">
        <f t="shared" si="0"/>
        <v>2000</v>
      </c>
      <c r="I41" s="115">
        <f t="shared" si="1"/>
        <v>0</v>
      </c>
      <c r="J41" s="115">
        <f t="shared" si="2"/>
        <v>0</v>
      </c>
      <c r="K41" s="115">
        <v>2000</v>
      </c>
      <c r="L41" s="115"/>
      <c r="M41" s="115"/>
      <c r="N41" s="115"/>
      <c r="O41" s="115"/>
      <c r="P41" s="115"/>
      <c r="Q41" s="115"/>
      <c r="R41" s="115"/>
      <c r="S41" s="116"/>
      <c r="T41" s="116"/>
      <c r="U41" s="116"/>
      <c r="V41" s="116"/>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row>
    <row r="42" spans="1:75" s="28" customFormat="1" ht="11.1" customHeight="1" x14ac:dyDescent="0.25">
      <c r="A42" s="319"/>
      <c r="B42" s="319"/>
      <c r="C42" s="319"/>
      <c r="D42" s="319"/>
      <c r="E42" s="81">
        <v>1990</v>
      </c>
      <c r="F42" s="76"/>
      <c r="G42" s="84"/>
      <c r="H42" s="115">
        <f t="shared" si="0"/>
        <v>0</v>
      </c>
      <c r="I42" s="115">
        <f t="shared" si="1"/>
        <v>0</v>
      </c>
      <c r="J42" s="115">
        <f t="shared" si="2"/>
        <v>0</v>
      </c>
      <c r="K42" s="115"/>
      <c r="L42" s="115"/>
      <c r="M42" s="115"/>
      <c r="N42" s="115"/>
      <c r="O42" s="115"/>
      <c r="P42" s="115"/>
      <c r="Q42" s="115"/>
      <c r="R42" s="115"/>
      <c r="S42" s="116"/>
      <c r="T42" s="116"/>
      <c r="U42" s="116"/>
      <c r="V42" s="116"/>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row>
    <row r="43" spans="1:75" s="28" customFormat="1" ht="18.75" customHeight="1" x14ac:dyDescent="0.25">
      <c r="A43" s="472" t="s">
        <v>115</v>
      </c>
      <c r="B43" s="472"/>
      <c r="C43" s="472"/>
      <c r="D43" s="472"/>
      <c r="E43" s="85">
        <v>2000</v>
      </c>
      <c r="F43" s="85" t="s">
        <v>9</v>
      </c>
      <c r="G43" s="85"/>
      <c r="H43" s="117">
        <f>K43+N43+Q43</f>
        <v>8793368.4700000007</v>
      </c>
      <c r="I43" s="117">
        <f t="shared" si="1"/>
        <v>9220000</v>
      </c>
      <c r="J43" s="117">
        <f t="shared" si="2"/>
        <v>9220000</v>
      </c>
      <c r="K43" s="117">
        <f>K44+K58+K59+K62+K82+K83+K75+K81</f>
        <v>7455620.7800000003</v>
      </c>
      <c r="L43" s="117">
        <f t="shared" ref="L43:S43" si="4">L44+L58+L59+L62+L82+L83</f>
        <v>8600000</v>
      </c>
      <c r="M43" s="117">
        <f t="shared" si="4"/>
        <v>8600000</v>
      </c>
      <c r="N43" s="117">
        <f t="shared" si="4"/>
        <v>1037747.69</v>
      </c>
      <c r="O43" s="117">
        <f t="shared" si="4"/>
        <v>620000</v>
      </c>
      <c r="P43" s="117">
        <f t="shared" si="4"/>
        <v>620000</v>
      </c>
      <c r="Q43" s="117">
        <f t="shared" si="4"/>
        <v>300000</v>
      </c>
      <c r="R43" s="117">
        <f t="shared" si="4"/>
        <v>0</v>
      </c>
      <c r="S43" s="118">
        <f t="shared" si="4"/>
        <v>0</v>
      </c>
      <c r="T43" s="118"/>
      <c r="U43" s="118"/>
      <c r="V43" s="118"/>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row>
    <row r="44" spans="1:75" s="28" customFormat="1" ht="22.5" customHeight="1" x14ac:dyDescent="0.25">
      <c r="A44" s="570" t="s">
        <v>116</v>
      </c>
      <c r="B44" s="570"/>
      <c r="C44" s="570"/>
      <c r="D44" s="570"/>
      <c r="E44" s="239">
        <v>2100</v>
      </c>
      <c r="F44" s="84" t="s">
        <v>9</v>
      </c>
      <c r="G44" s="84"/>
      <c r="H44" s="117">
        <f>K44+N44</f>
        <v>5402768.4100000001</v>
      </c>
      <c r="I44" s="117">
        <f t="shared" si="1"/>
        <v>5924039</v>
      </c>
      <c r="J44" s="117">
        <f t="shared" si="2"/>
        <v>6392139</v>
      </c>
      <c r="K44" s="120">
        <f t="shared" ref="K44:P44" si="5">K45+ K46+K49+K50+K51+K52+K47+K48</f>
        <v>5135858.41</v>
      </c>
      <c r="L44" s="117">
        <f t="shared" si="5"/>
        <v>5657129</v>
      </c>
      <c r="M44" s="117">
        <f t="shared" si="5"/>
        <v>6125229</v>
      </c>
      <c r="N44" s="117">
        <f t="shared" si="5"/>
        <v>266910</v>
      </c>
      <c r="O44" s="117">
        <f t="shared" si="5"/>
        <v>266910</v>
      </c>
      <c r="P44" s="117">
        <f t="shared" si="5"/>
        <v>266910</v>
      </c>
      <c r="Q44" s="117"/>
      <c r="R44" s="117"/>
      <c r="S44" s="118"/>
      <c r="T44" s="118"/>
      <c r="U44" s="118"/>
      <c r="V44" s="118"/>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row>
    <row r="45" spans="1:75" s="28" customFormat="1" ht="22.5" customHeight="1" x14ac:dyDescent="0.25">
      <c r="A45" s="319" t="s">
        <v>117</v>
      </c>
      <c r="B45" s="319"/>
      <c r="C45" s="319"/>
      <c r="D45" s="319"/>
      <c r="E45" s="84">
        <v>2110</v>
      </c>
      <c r="F45" s="84">
        <v>111</v>
      </c>
      <c r="G45" s="84">
        <v>211</v>
      </c>
      <c r="H45" s="115">
        <f t="shared" si="0"/>
        <v>4074616</v>
      </c>
      <c r="I45" s="115">
        <f t="shared" si="1"/>
        <v>4436666</v>
      </c>
      <c r="J45" s="115">
        <f t="shared" si="2"/>
        <v>4796190</v>
      </c>
      <c r="K45" s="119">
        <v>3869616</v>
      </c>
      <c r="L45" s="115">
        <v>4231666</v>
      </c>
      <c r="M45" s="115">
        <v>4591190</v>
      </c>
      <c r="N45" s="115">
        <v>205000</v>
      </c>
      <c r="O45" s="115">
        <v>205000</v>
      </c>
      <c r="P45" s="115">
        <v>205000</v>
      </c>
      <c r="Q45" s="115"/>
      <c r="R45" s="115"/>
      <c r="S45" s="116"/>
      <c r="T45" s="116"/>
      <c r="U45" s="116"/>
      <c r="V45" s="116"/>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row>
    <row r="46" spans="1:75" s="28" customFormat="1" ht="24" customHeight="1" x14ac:dyDescent="0.25">
      <c r="A46" s="326" t="s">
        <v>306</v>
      </c>
      <c r="B46" s="327"/>
      <c r="C46" s="327"/>
      <c r="D46" s="328"/>
      <c r="E46" s="84"/>
      <c r="F46" s="84">
        <v>111</v>
      </c>
      <c r="G46" s="84">
        <v>266</v>
      </c>
      <c r="H46" s="115">
        <f t="shared" si="0"/>
        <v>30000</v>
      </c>
      <c r="I46" s="115">
        <f t="shared" si="1"/>
        <v>5000</v>
      </c>
      <c r="J46" s="115">
        <f t="shared" si="2"/>
        <v>5000</v>
      </c>
      <c r="K46" s="119">
        <f>5000+15000+10000</f>
        <v>30000</v>
      </c>
      <c r="L46" s="115">
        <v>5000</v>
      </c>
      <c r="M46" s="115">
        <v>5000</v>
      </c>
      <c r="N46" s="115"/>
      <c r="O46" s="115"/>
      <c r="P46" s="115"/>
      <c r="Q46" s="115"/>
      <c r="R46" s="115"/>
      <c r="S46" s="116"/>
      <c r="T46" s="116"/>
      <c r="U46" s="116"/>
      <c r="V46" s="116"/>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row>
    <row r="47" spans="1:75" s="28" customFormat="1" ht="24" customHeight="1" x14ac:dyDescent="0.25">
      <c r="A47" s="326" t="s">
        <v>307</v>
      </c>
      <c r="B47" s="327"/>
      <c r="C47" s="327"/>
      <c r="D47" s="328"/>
      <c r="E47" s="84"/>
      <c r="F47" s="84">
        <v>112</v>
      </c>
      <c r="G47" s="84">
        <v>212</v>
      </c>
      <c r="H47" s="115">
        <f t="shared" ref="H47:J48" si="6">K47+N47</f>
        <v>70000</v>
      </c>
      <c r="I47" s="115">
        <f t="shared" si="6"/>
        <v>60000</v>
      </c>
      <c r="J47" s="115">
        <f t="shared" si="6"/>
        <v>60000</v>
      </c>
      <c r="K47" s="119">
        <f>60000+10000</f>
        <v>70000</v>
      </c>
      <c r="L47" s="115">
        <v>60000</v>
      </c>
      <c r="M47" s="115">
        <v>60000</v>
      </c>
      <c r="N47" s="115"/>
      <c r="O47" s="115"/>
      <c r="P47" s="115"/>
      <c r="Q47" s="115"/>
      <c r="R47" s="115"/>
      <c r="S47" s="116"/>
      <c r="T47" s="116"/>
      <c r="U47" s="116"/>
      <c r="V47" s="116"/>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row>
    <row r="48" spans="1:75" s="28" customFormat="1" ht="24" customHeight="1" x14ac:dyDescent="0.25">
      <c r="A48" s="305" t="s">
        <v>344</v>
      </c>
      <c r="B48" s="306"/>
      <c r="C48" s="306"/>
      <c r="D48" s="307"/>
      <c r="E48" s="84"/>
      <c r="F48" s="84">
        <v>112</v>
      </c>
      <c r="G48" s="84">
        <v>214</v>
      </c>
      <c r="H48" s="115">
        <f t="shared" si="6"/>
        <v>0</v>
      </c>
      <c r="I48" s="115">
        <f t="shared" si="6"/>
        <v>0</v>
      </c>
      <c r="J48" s="115">
        <f t="shared" si="6"/>
        <v>0</v>
      </c>
      <c r="K48" s="119"/>
      <c r="L48" s="115"/>
      <c r="M48" s="115"/>
      <c r="N48" s="115"/>
      <c r="O48" s="115"/>
      <c r="P48" s="115"/>
      <c r="Q48" s="115"/>
      <c r="R48" s="115"/>
      <c r="S48" s="116"/>
      <c r="T48" s="116"/>
      <c r="U48" s="116"/>
      <c r="V48" s="116"/>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row>
    <row r="49" spans="1:75" s="28" customFormat="1" ht="33" customHeight="1" x14ac:dyDescent="0.25">
      <c r="A49" s="319" t="s">
        <v>118</v>
      </c>
      <c r="B49" s="319"/>
      <c r="C49" s="319"/>
      <c r="D49" s="319"/>
      <c r="E49" s="84">
        <v>2120</v>
      </c>
      <c r="F49" s="84">
        <v>112</v>
      </c>
      <c r="G49" s="84">
        <v>226</v>
      </c>
      <c r="H49" s="115">
        <f t="shared" si="0"/>
        <v>32500</v>
      </c>
      <c r="I49" s="115">
        <f t="shared" si="1"/>
        <v>82500</v>
      </c>
      <c r="J49" s="115">
        <f t="shared" si="2"/>
        <v>82500</v>
      </c>
      <c r="K49" s="119">
        <f>82500-50000</f>
        <v>32500</v>
      </c>
      <c r="L49" s="115">
        <v>82500</v>
      </c>
      <c r="M49" s="115">
        <v>82500</v>
      </c>
      <c r="N49" s="115"/>
      <c r="O49" s="115"/>
      <c r="P49" s="115"/>
      <c r="Q49" s="115"/>
      <c r="R49" s="115"/>
      <c r="S49" s="116"/>
      <c r="T49" s="116"/>
      <c r="U49" s="116"/>
      <c r="V49" s="116"/>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row>
    <row r="50" spans="1:75" s="28" customFormat="1" ht="27" customHeight="1" x14ac:dyDescent="0.25">
      <c r="A50" s="326" t="s">
        <v>300</v>
      </c>
      <c r="B50" s="327"/>
      <c r="C50" s="327"/>
      <c r="D50" s="328"/>
      <c r="E50" s="84"/>
      <c r="F50" s="84">
        <v>112</v>
      </c>
      <c r="G50" s="84">
        <v>266</v>
      </c>
      <c r="H50" s="115">
        <f t="shared" si="0"/>
        <v>0</v>
      </c>
      <c r="I50" s="115">
        <f t="shared" si="1"/>
        <v>0</v>
      </c>
      <c r="J50" s="115">
        <f t="shared" si="2"/>
        <v>0</v>
      </c>
      <c r="K50" s="119"/>
      <c r="L50" s="115"/>
      <c r="M50" s="115"/>
      <c r="N50" s="115"/>
      <c r="O50" s="115"/>
      <c r="P50" s="115"/>
      <c r="Q50" s="115"/>
      <c r="R50" s="115"/>
      <c r="S50" s="116"/>
      <c r="T50" s="116"/>
      <c r="U50" s="116"/>
      <c r="V50" s="116"/>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row>
    <row r="51" spans="1:75" s="28" customFormat="1" ht="33.75" customHeight="1" x14ac:dyDescent="0.25">
      <c r="A51" s="319" t="s">
        <v>119</v>
      </c>
      <c r="B51" s="319"/>
      <c r="C51" s="319"/>
      <c r="D51" s="319"/>
      <c r="E51" s="84">
        <v>2130</v>
      </c>
      <c r="F51" s="84">
        <v>113</v>
      </c>
      <c r="G51" s="84"/>
      <c r="H51" s="115">
        <f t="shared" si="0"/>
        <v>0</v>
      </c>
      <c r="I51" s="115">
        <f t="shared" si="1"/>
        <v>0</v>
      </c>
      <c r="J51" s="115">
        <f t="shared" si="2"/>
        <v>0</v>
      </c>
      <c r="K51" s="119"/>
      <c r="L51" s="115"/>
      <c r="M51" s="115"/>
      <c r="N51" s="115"/>
      <c r="O51" s="115"/>
      <c r="P51" s="115"/>
      <c r="Q51" s="115"/>
      <c r="R51" s="115"/>
      <c r="S51" s="116"/>
      <c r="T51" s="116"/>
      <c r="U51" s="116"/>
      <c r="V51" s="116"/>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row>
    <row r="52" spans="1:75" s="28" customFormat="1" ht="50.25" customHeight="1" x14ac:dyDescent="0.25">
      <c r="A52" s="319" t="s">
        <v>120</v>
      </c>
      <c r="B52" s="319"/>
      <c r="C52" s="319"/>
      <c r="D52" s="319"/>
      <c r="E52" s="84">
        <v>2140</v>
      </c>
      <c r="F52" s="84">
        <v>119</v>
      </c>
      <c r="G52" s="84">
        <v>213</v>
      </c>
      <c r="H52" s="115">
        <f t="shared" si="0"/>
        <v>1195652.4099999999</v>
      </c>
      <c r="I52" s="115">
        <f t="shared" si="1"/>
        <v>1339873</v>
      </c>
      <c r="J52" s="115">
        <f t="shared" si="2"/>
        <v>1448449</v>
      </c>
      <c r="K52" s="119">
        <f>1168624-34881.59</f>
        <v>1133742.4099999999</v>
      </c>
      <c r="L52" s="115">
        <v>1277963</v>
      </c>
      <c r="M52" s="115">
        <v>1386539</v>
      </c>
      <c r="N52" s="115">
        <v>61910</v>
      </c>
      <c r="O52" s="115">
        <v>61910</v>
      </c>
      <c r="P52" s="115">
        <v>61910</v>
      </c>
      <c r="Q52" s="115"/>
      <c r="R52" s="115"/>
      <c r="S52" s="116"/>
      <c r="T52" s="116"/>
      <c r="U52" s="116"/>
      <c r="V52" s="116"/>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row>
    <row r="53" spans="1:75" s="28" customFormat="1" ht="22.5" customHeight="1" x14ac:dyDescent="0.25">
      <c r="A53" s="319" t="s">
        <v>121</v>
      </c>
      <c r="B53" s="319"/>
      <c r="C53" s="319"/>
      <c r="D53" s="319"/>
      <c r="E53" s="84">
        <v>2141</v>
      </c>
      <c r="F53" s="84">
        <v>119</v>
      </c>
      <c r="G53" s="84">
        <v>213</v>
      </c>
      <c r="H53" s="115">
        <f t="shared" si="0"/>
        <v>1195652.4099999999</v>
      </c>
      <c r="I53" s="115">
        <f t="shared" si="1"/>
        <v>1339873</v>
      </c>
      <c r="J53" s="115">
        <f t="shared" si="2"/>
        <v>1448449</v>
      </c>
      <c r="K53" s="119">
        <f t="shared" ref="K53:P53" si="7">K52</f>
        <v>1133742.4099999999</v>
      </c>
      <c r="L53" s="115">
        <f t="shared" si="7"/>
        <v>1277963</v>
      </c>
      <c r="M53" s="115">
        <f t="shared" si="7"/>
        <v>1386539</v>
      </c>
      <c r="N53" s="115">
        <f t="shared" si="7"/>
        <v>61910</v>
      </c>
      <c r="O53" s="115">
        <f t="shared" si="7"/>
        <v>61910</v>
      </c>
      <c r="P53" s="115">
        <f t="shared" si="7"/>
        <v>61910</v>
      </c>
      <c r="Q53" s="115"/>
      <c r="R53" s="115"/>
      <c r="S53" s="116"/>
      <c r="T53" s="116"/>
      <c r="U53" s="116"/>
      <c r="V53" s="116"/>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row>
    <row r="54" spans="1:75" s="28" customFormat="1" ht="15.75" customHeight="1" x14ac:dyDescent="0.25">
      <c r="A54" s="319" t="s">
        <v>122</v>
      </c>
      <c r="B54" s="319"/>
      <c r="C54" s="319"/>
      <c r="D54" s="319"/>
      <c r="E54" s="84">
        <v>2142</v>
      </c>
      <c r="F54" s="84">
        <v>119</v>
      </c>
      <c r="G54" s="84"/>
      <c r="H54" s="115">
        <f t="shared" si="0"/>
        <v>0</v>
      </c>
      <c r="I54" s="115">
        <f t="shared" si="1"/>
        <v>0</v>
      </c>
      <c r="J54" s="115">
        <f t="shared" si="2"/>
        <v>0</v>
      </c>
      <c r="K54" s="119"/>
      <c r="L54" s="115"/>
      <c r="M54" s="115"/>
      <c r="N54" s="115"/>
      <c r="O54" s="115"/>
      <c r="P54" s="115"/>
      <c r="Q54" s="115"/>
      <c r="R54" s="115"/>
      <c r="S54" s="116"/>
      <c r="T54" s="116"/>
      <c r="U54" s="116"/>
      <c r="V54" s="116"/>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row>
    <row r="55" spans="1:75" s="28" customFormat="1" ht="18.75" customHeight="1" x14ac:dyDescent="0.25">
      <c r="A55" s="570" t="s">
        <v>123</v>
      </c>
      <c r="B55" s="570"/>
      <c r="C55" s="570"/>
      <c r="D55" s="570"/>
      <c r="E55" s="239">
        <v>2200</v>
      </c>
      <c r="F55" s="84">
        <v>300</v>
      </c>
      <c r="G55" s="84"/>
      <c r="H55" s="115">
        <f t="shared" si="0"/>
        <v>140837.69</v>
      </c>
      <c r="I55" s="115">
        <f t="shared" si="1"/>
        <v>48090</v>
      </c>
      <c r="J55" s="115">
        <f t="shared" si="2"/>
        <v>48090</v>
      </c>
      <c r="K55" s="119"/>
      <c r="L55" s="115"/>
      <c r="M55" s="115"/>
      <c r="N55" s="117">
        <f>N56+N59+N60+N61</f>
        <v>140837.69</v>
      </c>
      <c r="O55" s="117">
        <f>O56+O59+O60+O61</f>
        <v>48090</v>
      </c>
      <c r="P55" s="117">
        <f>P56+P59+P60+P61</f>
        <v>48090</v>
      </c>
      <c r="Q55" s="115"/>
      <c r="R55" s="115"/>
      <c r="S55" s="116"/>
      <c r="T55" s="116"/>
      <c r="U55" s="116"/>
      <c r="V55" s="116"/>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row>
    <row r="56" spans="1:75" s="28" customFormat="1" ht="36" customHeight="1" x14ac:dyDescent="0.25">
      <c r="A56" s="319" t="s">
        <v>124</v>
      </c>
      <c r="B56" s="319"/>
      <c r="C56" s="319"/>
      <c r="D56" s="319"/>
      <c r="E56" s="84">
        <v>2210</v>
      </c>
      <c r="F56" s="84">
        <v>320</v>
      </c>
      <c r="G56" s="84"/>
      <c r="H56" s="115">
        <f t="shared" si="0"/>
        <v>140837.69</v>
      </c>
      <c r="I56" s="115">
        <f t="shared" si="1"/>
        <v>48090</v>
      </c>
      <c r="J56" s="115">
        <f t="shared" si="2"/>
        <v>48090</v>
      </c>
      <c r="K56" s="119"/>
      <c r="L56" s="115"/>
      <c r="M56" s="115"/>
      <c r="N56" s="115">
        <f>N57+N58</f>
        <v>140837.69</v>
      </c>
      <c r="O56" s="115">
        <f>O57+O58</f>
        <v>48090</v>
      </c>
      <c r="P56" s="115">
        <f>P57+P58</f>
        <v>48090</v>
      </c>
      <c r="Q56" s="115"/>
      <c r="R56" s="115"/>
      <c r="S56" s="116"/>
      <c r="T56" s="116"/>
      <c r="U56" s="116"/>
      <c r="V56" s="116"/>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row>
    <row r="57" spans="1:75" s="28" customFormat="1" ht="33.75" customHeight="1" x14ac:dyDescent="0.25">
      <c r="A57" s="319" t="s">
        <v>125</v>
      </c>
      <c r="B57" s="319"/>
      <c r="C57" s="319"/>
      <c r="D57" s="319"/>
      <c r="E57" s="84">
        <v>2211</v>
      </c>
      <c r="F57" s="84">
        <v>321</v>
      </c>
      <c r="G57" s="84"/>
      <c r="H57" s="115">
        <f t="shared" si="0"/>
        <v>0</v>
      </c>
      <c r="I57" s="115">
        <f t="shared" si="1"/>
        <v>0</v>
      </c>
      <c r="J57" s="115">
        <f t="shared" si="2"/>
        <v>0</v>
      </c>
      <c r="K57" s="119"/>
      <c r="L57" s="115"/>
      <c r="M57" s="115"/>
      <c r="N57" s="115"/>
      <c r="O57" s="115"/>
      <c r="P57" s="115"/>
      <c r="Q57" s="115"/>
      <c r="R57" s="115"/>
      <c r="S57" s="116"/>
      <c r="T57" s="116"/>
      <c r="U57" s="116"/>
      <c r="V57" s="116"/>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1:75" s="28" customFormat="1" ht="24" customHeight="1" x14ac:dyDescent="0.25">
      <c r="A58" s="319" t="s">
        <v>319</v>
      </c>
      <c r="B58" s="319"/>
      <c r="C58" s="319"/>
      <c r="D58" s="319"/>
      <c r="E58" s="84">
        <v>2212</v>
      </c>
      <c r="F58" s="84">
        <v>323</v>
      </c>
      <c r="G58" s="84">
        <v>263</v>
      </c>
      <c r="H58" s="117">
        <f t="shared" si="0"/>
        <v>140837.69</v>
      </c>
      <c r="I58" s="117">
        <f t="shared" si="1"/>
        <v>48090</v>
      </c>
      <c r="J58" s="117">
        <f t="shared" si="2"/>
        <v>48090</v>
      </c>
      <c r="K58" s="120"/>
      <c r="L58" s="117"/>
      <c r="M58" s="117"/>
      <c r="N58" s="117">
        <f>305500-24662.4+0.09-100000-100000+60000</f>
        <v>140837.69</v>
      </c>
      <c r="O58" s="117">
        <f>110000-11910-50000</f>
        <v>48090</v>
      </c>
      <c r="P58" s="117">
        <f>110000-11910-50000</f>
        <v>48090</v>
      </c>
      <c r="Q58" s="115"/>
      <c r="R58" s="115"/>
      <c r="S58" s="116"/>
      <c r="T58" s="116"/>
      <c r="U58" s="116"/>
      <c r="V58" s="116"/>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row>
    <row r="59" spans="1:75" s="28" customFormat="1" ht="54.75" customHeight="1" x14ac:dyDescent="0.25">
      <c r="A59" s="319" t="s">
        <v>126</v>
      </c>
      <c r="B59" s="319"/>
      <c r="C59" s="319"/>
      <c r="D59" s="319"/>
      <c r="E59" s="84">
        <v>2220</v>
      </c>
      <c r="F59" s="84">
        <v>340</v>
      </c>
      <c r="G59" s="84"/>
      <c r="H59" s="115">
        <f t="shared" si="0"/>
        <v>0</v>
      </c>
      <c r="I59" s="115">
        <f t="shared" si="1"/>
        <v>0</v>
      </c>
      <c r="J59" s="115">
        <f t="shared" si="2"/>
        <v>0</v>
      </c>
      <c r="K59" s="119"/>
      <c r="L59" s="115"/>
      <c r="M59" s="115"/>
      <c r="N59" s="115"/>
      <c r="O59" s="115"/>
      <c r="P59" s="115"/>
      <c r="Q59" s="115"/>
      <c r="R59" s="115"/>
      <c r="S59" s="116"/>
      <c r="T59" s="116"/>
      <c r="U59" s="116"/>
      <c r="V59" s="116"/>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row>
    <row r="60" spans="1:75" s="28" customFormat="1" ht="66.75" customHeight="1" x14ac:dyDescent="0.25">
      <c r="A60" s="319" t="s">
        <v>127</v>
      </c>
      <c r="B60" s="319"/>
      <c r="C60" s="319"/>
      <c r="D60" s="319"/>
      <c r="E60" s="84">
        <v>2230</v>
      </c>
      <c r="F60" s="84">
        <v>350</v>
      </c>
      <c r="G60" s="84"/>
      <c r="H60" s="115">
        <f t="shared" si="0"/>
        <v>0</v>
      </c>
      <c r="I60" s="115">
        <f t="shared" si="1"/>
        <v>0</v>
      </c>
      <c r="J60" s="115">
        <f t="shared" si="2"/>
        <v>0</v>
      </c>
      <c r="K60" s="119"/>
      <c r="L60" s="115"/>
      <c r="M60" s="115"/>
      <c r="N60" s="115"/>
      <c r="O60" s="115"/>
      <c r="P60" s="115"/>
      <c r="Q60" s="115"/>
      <c r="R60" s="115"/>
      <c r="S60" s="116"/>
      <c r="T60" s="116"/>
      <c r="U60" s="116"/>
      <c r="V60" s="116"/>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row>
    <row r="61" spans="1:75" s="28" customFormat="1" ht="26.25" customHeight="1" x14ac:dyDescent="0.25">
      <c r="A61" s="319" t="s">
        <v>410</v>
      </c>
      <c r="B61" s="319"/>
      <c r="C61" s="319"/>
      <c r="D61" s="319"/>
      <c r="E61" s="84">
        <v>2240</v>
      </c>
      <c r="F61" s="84">
        <v>360</v>
      </c>
      <c r="G61" s="84"/>
      <c r="H61" s="115">
        <f t="shared" si="0"/>
        <v>0</v>
      </c>
      <c r="I61" s="115">
        <f t="shared" si="1"/>
        <v>0</v>
      </c>
      <c r="J61" s="115">
        <f t="shared" si="2"/>
        <v>0</v>
      </c>
      <c r="K61" s="119"/>
      <c r="L61" s="115"/>
      <c r="M61" s="115"/>
      <c r="N61" s="115"/>
      <c r="O61" s="115"/>
      <c r="P61" s="115"/>
      <c r="Q61" s="115"/>
      <c r="R61" s="115"/>
      <c r="S61" s="116"/>
      <c r="T61" s="116"/>
      <c r="U61" s="116"/>
      <c r="V61" s="116"/>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row>
    <row r="62" spans="1:75" s="28" customFormat="1" ht="19.5" customHeight="1" x14ac:dyDescent="0.25">
      <c r="A62" s="506" t="s">
        <v>129</v>
      </c>
      <c r="B62" s="506"/>
      <c r="C62" s="506"/>
      <c r="D62" s="506"/>
      <c r="E62" s="109">
        <v>2300</v>
      </c>
      <c r="F62" s="109">
        <v>850</v>
      </c>
      <c r="G62" s="84"/>
      <c r="H62" s="117">
        <f t="shared" si="0"/>
        <v>260794.91</v>
      </c>
      <c r="I62" s="117">
        <f t="shared" si="1"/>
        <v>360821</v>
      </c>
      <c r="J62" s="117">
        <f t="shared" si="2"/>
        <v>360821</v>
      </c>
      <c r="K62" s="240">
        <f>K63+K64+K65+K66+K67</f>
        <v>260794.91</v>
      </c>
      <c r="L62" s="117">
        <f>L63+L64+L65+L66+L67</f>
        <v>360821</v>
      </c>
      <c r="M62" s="117">
        <f>M63+M64+M65+M66+M67</f>
        <v>360821</v>
      </c>
      <c r="N62" s="117"/>
      <c r="O62" s="117"/>
      <c r="P62" s="117"/>
      <c r="Q62" s="115"/>
      <c r="R62" s="115"/>
      <c r="S62" s="116"/>
      <c r="T62" s="116"/>
      <c r="U62" s="116"/>
      <c r="V62" s="116"/>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row>
    <row r="63" spans="1:75" s="28" customFormat="1" ht="32.25" customHeight="1" x14ac:dyDescent="0.25">
      <c r="A63" s="319" t="s">
        <v>130</v>
      </c>
      <c r="B63" s="319"/>
      <c r="C63" s="319"/>
      <c r="D63" s="319"/>
      <c r="E63" s="84">
        <v>2310</v>
      </c>
      <c r="F63" s="84">
        <v>851</v>
      </c>
      <c r="G63" s="84">
        <v>291</v>
      </c>
      <c r="H63" s="115">
        <f t="shared" si="0"/>
        <v>40821</v>
      </c>
      <c r="I63" s="115">
        <f t="shared" si="1"/>
        <v>40821</v>
      </c>
      <c r="J63" s="115">
        <f t="shared" si="2"/>
        <v>40821</v>
      </c>
      <c r="K63" s="119">
        <f>24000+16821</f>
        <v>40821</v>
      </c>
      <c r="L63" s="115">
        <v>40821</v>
      </c>
      <c r="M63" s="115">
        <v>40821</v>
      </c>
      <c r="N63" s="115"/>
      <c r="O63" s="115"/>
      <c r="P63" s="115"/>
      <c r="Q63" s="115"/>
      <c r="R63" s="115"/>
      <c r="S63" s="116"/>
      <c r="T63" s="116"/>
      <c r="U63" s="116"/>
      <c r="V63" s="116"/>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75" s="28" customFormat="1" ht="42" customHeight="1" x14ac:dyDescent="0.25">
      <c r="A64" s="319" t="s">
        <v>131</v>
      </c>
      <c r="B64" s="319"/>
      <c r="C64" s="319"/>
      <c r="D64" s="319"/>
      <c r="E64" s="84">
        <v>2320</v>
      </c>
      <c r="F64" s="84">
        <v>852</v>
      </c>
      <c r="G64" s="84">
        <v>291</v>
      </c>
      <c r="H64" s="115">
        <f t="shared" si="0"/>
        <v>22000</v>
      </c>
      <c r="I64" s="115">
        <f t="shared" si="1"/>
        <v>20000</v>
      </c>
      <c r="J64" s="115">
        <f t="shared" si="2"/>
        <v>20000</v>
      </c>
      <c r="K64" s="119">
        <f>20000+2000</f>
        <v>22000</v>
      </c>
      <c r="L64" s="115">
        <v>20000</v>
      </c>
      <c r="M64" s="115">
        <v>20000</v>
      </c>
      <c r="N64" s="115"/>
      <c r="O64" s="115"/>
      <c r="P64" s="115"/>
      <c r="Q64" s="115"/>
      <c r="R64" s="115"/>
      <c r="S64" s="116"/>
      <c r="T64" s="116"/>
      <c r="U64" s="116"/>
      <c r="V64" s="116"/>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row>
    <row r="65" spans="1:75" s="28" customFormat="1" ht="31.5" customHeight="1" x14ac:dyDescent="0.25">
      <c r="A65" s="319" t="s">
        <v>132</v>
      </c>
      <c r="B65" s="319"/>
      <c r="C65" s="319"/>
      <c r="D65" s="319"/>
      <c r="E65" s="84">
        <v>2330</v>
      </c>
      <c r="F65" s="84">
        <v>853</v>
      </c>
      <c r="G65" s="84">
        <v>292</v>
      </c>
      <c r="H65" s="115">
        <f t="shared" si="0"/>
        <v>65000</v>
      </c>
      <c r="I65" s="115">
        <f t="shared" si="1"/>
        <v>100000</v>
      </c>
      <c r="J65" s="115">
        <f t="shared" si="2"/>
        <v>100000</v>
      </c>
      <c r="K65" s="119">
        <f>350000-15000-270000</f>
        <v>65000</v>
      </c>
      <c r="L65" s="115">
        <v>100000</v>
      </c>
      <c r="M65" s="115">
        <v>100000</v>
      </c>
      <c r="N65" s="115"/>
      <c r="O65" s="115"/>
      <c r="P65" s="115"/>
      <c r="Q65" s="115"/>
      <c r="R65" s="115"/>
      <c r="S65" s="116"/>
      <c r="T65" s="116"/>
      <c r="U65" s="116"/>
      <c r="V65" s="116"/>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row>
    <row r="66" spans="1:75" s="28" customFormat="1" ht="31.5" customHeight="1" x14ac:dyDescent="0.25">
      <c r="A66" s="326" t="s">
        <v>308</v>
      </c>
      <c r="B66" s="327"/>
      <c r="C66" s="327"/>
      <c r="D66" s="328"/>
      <c r="E66" s="84">
        <v>2340</v>
      </c>
      <c r="F66" s="84">
        <v>853</v>
      </c>
      <c r="G66" s="84">
        <v>293</v>
      </c>
      <c r="H66" s="115">
        <f t="shared" si="0"/>
        <v>30000</v>
      </c>
      <c r="I66" s="115">
        <f>L66+O66</f>
        <v>50000</v>
      </c>
      <c r="J66" s="115">
        <f t="shared" si="2"/>
        <v>50000</v>
      </c>
      <c r="K66" s="119">
        <v>30000</v>
      </c>
      <c r="L66" s="115">
        <v>50000</v>
      </c>
      <c r="M66" s="115">
        <v>50000</v>
      </c>
      <c r="N66" s="115"/>
      <c r="O66" s="115"/>
      <c r="P66" s="115"/>
      <c r="Q66" s="115"/>
      <c r="R66" s="115"/>
      <c r="S66" s="116"/>
      <c r="T66" s="116"/>
      <c r="U66" s="116"/>
      <c r="V66" s="116"/>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28" customFormat="1" ht="31.5" customHeight="1" x14ac:dyDescent="0.25">
      <c r="A67" s="326" t="s">
        <v>309</v>
      </c>
      <c r="B67" s="327"/>
      <c r="C67" s="327"/>
      <c r="D67" s="328"/>
      <c r="E67" s="84">
        <v>2350</v>
      </c>
      <c r="F67" s="84">
        <v>853</v>
      </c>
      <c r="G67" s="84">
        <v>295</v>
      </c>
      <c r="H67" s="115">
        <f t="shared" si="0"/>
        <v>102973.91</v>
      </c>
      <c r="I67" s="115">
        <f>L67+O67</f>
        <v>150000</v>
      </c>
      <c r="J67" s="115">
        <f t="shared" si="2"/>
        <v>150000</v>
      </c>
      <c r="K67" s="119">
        <f>420000-41075.08-275951.01</f>
        <v>102973.91</v>
      </c>
      <c r="L67" s="115">
        <v>150000</v>
      </c>
      <c r="M67" s="115">
        <v>150000</v>
      </c>
      <c r="N67" s="115"/>
      <c r="O67" s="115"/>
      <c r="P67" s="115"/>
      <c r="Q67" s="115"/>
      <c r="R67" s="115"/>
      <c r="S67" s="116"/>
      <c r="T67" s="116"/>
      <c r="U67" s="116"/>
      <c r="V67" s="116"/>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28" customFormat="1" ht="34.5" customHeight="1" x14ac:dyDescent="0.25">
      <c r="A68" s="506" t="s">
        <v>133</v>
      </c>
      <c r="B68" s="506"/>
      <c r="C68" s="506"/>
      <c r="D68" s="506"/>
      <c r="E68" s="109">
        <v>2400</v>
      </c>
      <c r="F68" s="84" t="s">
        <v>9</v>
      </c>
      <c r="G68" s="84"/>
      <c r="H68" s="115">
        <f t="shared" si="0"/>
        <v>0</v>
      </c>
      <c r="I68" s="115">
        <f t="shared" si="1"/>
        <v>0</v>
      </c>
      <c r="J68" s="115">
        <f t="shared" si="2"/>
        <v>0</v>
      </c>
      <c r="K68" s="119"/>
      <c r="L68" s="115"/>
      <c r="M68" s="115"/>
      <c r="N68" s="115"/>
      <c r="O68" s="115"/>
      <c r="P68" s="115"/>
      <c r="Q68" s="115"/>
      <c r="R68" s="115"/>
      <c r="S68" s="116"/>
      <c r="T68" s="116"/>
      <c r="U68" s="116"/>
      <c r="V68" s="116"/>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28" customFormat="1" ht="42.75" customHeight="1" x14ac:dyDescent="0.25">
      <c r="A69" s="319" t="s">
        <v>401</v>
      </c>
      <c r="B69" s="319"/>
      <c r="C69" s="319"/>
      <c r="D69" s="319"/>
      <c r="E69" s="84">
        <v>2410</v>
      </c>
      <c r="F69" s="84">
        <v>613</v>
      </c>
      <c r="G69" s="84"/>
      <c r="H69" s="115">
        <f t="shared" si="0"/>
        <v>0</v>
      </c>
      <c r="I69" s="115">
        <f t="shared" si="1"/>
        <v>0</v>
      </c>
      <c r="J69" s="115">
        <f t="shared" si="2"/>
        <v>0</v>
      </c>
      <c r="K69" s="119"/>
      <c r="L69" s="115"/>
      <c r="M69" s="115"/>
      <c r="N69" s="115"/>
      <c r="O69" s="115"/>
      <c r="P69" s="115"/>
      <c r="Q69" s="115"/>
      <c r="R69" s="115"/>
      <c r="S69" s="116"/>
      <c r="T69" s="116"/>
      <c r="U69" s="116"/>
      <c r="V69" s="116"/>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28" customFormat="1" ht="19.5" customHeight="1" x14ac:dyDescent="0.25">
      <c r="A70" s="319" t="s">
        <v>408</v>
      </c>
      <c r="B70" s="319"/>
      <c r="C70" s="319"/>
      <c r="D70" s="319"/>
      <c r="E70" s="84">
        <v>2420</v>
      </c>
      <c r="F70" s="84">
        <v>623</v>
      </c>
      <c r="G70" s="84"/>
      <c r="H70" s="115">
        <f t="shared" si="0"/>
        <v>0</v>
      </c>
      <c r="I70" s="115">
        <f t="shared" si="1"/>
        <v>0</v>
      </c>
      <c r="J70" s="115">
        <f t="shared" si="2"/>
        <v>0</v>
      </c>
      <c r="K70" s="119"/>
      <c r="L70" s="115"/>
      <c r="M70" s="115"/>
      <c r="N70" s="115"/>
      <c r="O70" s="115"/>
      <c r="P70" s="115"/>
      <c r="Q70" s="115"/>
      <c r="R70" s="115"/>
      <c r="S70" s="116"/>
      <c r="T70" s="116"/>
      <c r="U70" s="116"/>
      <c r="V70" s="116"/>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28" customFormat="1" ht="41.25" customHeight="1" x14ac:dyDescent="0.25">
      <c r="A71" s="505" t="s">
        <v>411</v>
      </c>
      <c r="B71" s="505"/>
      <c r="C71" s="505"/>
      <c r="D71" s="505"/>
      <c r="E71" s="250">
        <v>2430</v>
      </c>
      <c r="F71" s="250">
        <v>634</v>
      </c>
      <c r="G71" s="84"/>
      <c r="H71" s="115">
        <f t="shared" si="0"/>
        <v>0</v>
      </c>
      <c r="I71" s="115">
        <f t="shared" si="1"/>
        <v>0</v>
      </c>
      <c r="J71" s="115">
        <f t="shared" si="2"/>
        <v>0</v>
      </c>
      <c r="K71" s="119"/>
      <c r="L71" s="115"/>
      <c r="M71" s="115"/>
      <c r="N71" s="115"/>
      <c r="O71" s="115"/>
      <c r="P71" s="115"/>
      <c r="Q71" s="115"/>
      <c r="R71" s="115"/>
      <c r="S71" s="116"/>
      <c r="T71" s="116"/>
      <c r="U71" s="116"/>
      <c r="V71" s="116"/>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28" customFormat="1" ht="26.25" customHeight="1" x14ac:dyDescent="0.25">
      <c r="A72" s="507" t="s">
        <v>412</v>
      </c>
      <c r="B72" s="508"/>
      <c r="C72" s="508"/>
      <c r="D72" s="509"/>
      <c r="E72" s="250">
        <v>2440</v>
      </c>
      <c r="F72" s="250">
        <v>810</v>
      </c>
      <c r="G72" s="84"/>
      <c r="H72" s="115">
        <f t="shared" si="0"/>
        <v>0</v>
      </c>
      <c r="I72" s="115">
        <f t="shared" si="1"/>
        <v>0</v>
      </c>
      <c r="J72" s="115">
        <f t="shared" si="2"/>
        <v>0</v>
      </c>
      <c r="K72" s="119"/>
      <c r="L72" s="115"/>
      <c r="M72" s="115"/>
      <c r="N72" s="115"/>
      <c r="O72" s="115"/>
      <c r="P72" s="115"/>
      <c r="Q72" s="115"/>
      <c r="R72" s="115"/>
      <c r="S72" s="116"/>
      <c r="T72" s="116"/>
      <c r="U72" s="116"/>
      <c r="V72" s="116"/>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28" customFormat="1" ht="26.25" customHeight="1" x14ac:dyDescent="0.25">
      <c r="A73" s="507" t="s">
        <v>413</v>
      </c>
      <c r="B73" s="508"/>
      <c r="C73" s="508"/>
      <c r="D73" s="509"/>
      <c r="E73" s="250">
        <v>2450</v>
      </c>
      <c r="F73" s="250">
        <v>862</v>
      </c>
      <c r="G73" s="84"/>
      <c r="H73" s="115">
        <f t="shared" si="0"/>
        <v>0</v>
      </c>
      <c r="I73" s="115">
        <f t="shared" si="1"/>
        <v>0</v>
      </c>
      <c r="J73" s="115">
        <f t="shared" si="2"/>
        <v>0</v>
      </c>
      <c r="K73" s="119"/>
      <c r="L73" s="115"/>
      <c r="M73" s="115"/>
      <c r="N73" s="115"/>
      <c r="O73" s="115"/>
      <c r="P73" s="115"/>
      <c r="Q73" s="115"/>
      <c r="R73" s="115"/>
      <c r="S73" s="116"/>
      <c r="T73" s="116"/>
      <c r="U73" s="116"/>
      <c r="V73" s="116"/>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28" customFormat="1" ht="26.25" customHeight="1" x14ac:dyDescent="0.25">
      <c r="A74" s="507" t="s">
        <v>414</v>
      </c>
      <c r="B74" s="508"/>
      <c r="C74" s="508"/>
      <c r="D74" s="509"/>
      <c r="E74" s="250">
        <v>2460</v>
      </c>
      <c r="F74" s="250">
        <v>863</v>
      </c>
      <c r="G74" s="84"/>
      <c r="H74" s="115">
        <f t="shared" si="0"/>
        <v>0</v>
      </c>
      <c r="I74" s="115">
        <f t="shared" si="1"/>
        <v>0</v>
      </c>
      <c r="J74" s="115">
        <f t="shared" si="2"/>
        <v>0</v>
      </c>
      <c r="K74" s="119"/>
      <c r="L74" s="115"/>
      <c r="M74" s="115"/>
      <c r="N74" s="115"/>
      <c r="O74" s="115"/>
      <c r="P74" s="115"/>
      <c r="Q74" s="115"/>
      <c r="R74" s="115"/>
      <c r="S74" s="116"/>
      <c r="T74" s="116"/>
      <c r="U74" s="116"/>
      <c r="V74" s="116"/>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28" customFormat="1" ht="30.75" customHeight="1" x14ac:dyDescent="0.25">
      <c r="A75" s="519" t="s">
        <v>137</v>
      </c>
      <c r="B75" s="519"/>
      <c r="C75" s="519"/>
      <c r="D75" s="519"/>
      <c r="E75" s="124">
        <v>2500</v>
      </c>
      <c r="F75" s="85" t="s">
        <v>9</v>
      </c>
      <c r="G75" s="85"/>
      <c r="H75" s="117">
        <f t="shared" si="0"/>
        <v>125000</v>
      </c>
      <c r="I75" s="117">
        <f t="shared" si="1"/>
        <v>0</v>
      </c>
      <c r="J75" s="117">
        <f t="shared" si="2"/>
        <v>0</v>
      </c>
      <c r="K75" s="120">
        <f>K76+K77</f>
        <v>125000</v>
      </c>
      <c r="L75" s="117"/>
      <c r="M75" s="117"/>
      <c r="N75" s="117"/>
      <c r="O75" s="117"/>
      <c r="P75" s="117"/>
      <c r="Q75" s="117"/>
      <c r="R75" s="117"/>
      <c r="S75" s="118"/>
      <c r="T75" s="118"/>
      <c r="U75" s="118"/>
      <c r="V75" s="118"/>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28" customFormat="1" ht="53.25" customHeight="1" x14ac:dyDescent="0.25">
      <c r="A76" s="319" t="s">
        <v>138</v>
      </c>
      <c r="B76" s="319"/>
      <c r="C76" s="319"/>
      <c r="D76" s="319"/>
      <c r="E76" s="84">
        <v>2520</v>
      </c>
      <c r="F76" s="84">
        <v>831</v>
      </c>
      <c r="G76" s="84">
        <v>296</v>
      </c>
      <c r="H76" s="117">
        <f t="shared" si="0"/>
        <v>110000</v>
      </c>
      <c r="I76" s="115">
        <f t="shared" si="1"/>
        <v>0</v>
      </c>
      <c r="J76" s="115">
        <f t="shared" si="2"/>
        <v>0</v>
      </c>
      <c r="K76" s="119">
        <f>10000+100000</f>
        <v>110000</v>
      </c>
      <c r="L76" s="115"/>
      <c r="M76" s="115"/>
      <c r="N76" s="115"/>
      <c r="O76" s="115"/>
      <c r="P76" s="115"/>
      <c r="Q76" s="115"/>
      <c r="R76" s="115"/>
      <c r="S76" s="116"/>
      <c r="T76" s="116"/>
      <c r="U76" s="116"/>
      <c r="V76" s="116"/>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28" customFormat="1" ht="53.25" customHeight="1" x14ac:dyDescent="0.25">
      <c r="A77" s="326" t="s">
        <v>435</v>
      </c>
      <c r="B77" s="327"/>
      <c r="C77" s="327"/>
      <c r="D77" s="328"/>
      <c r="E77" s="84">
        <v>2521</v>
      </c>
      <c r="F77" s="84">
        <v>831</v>
      </c>
      <c r="G77" s="84">
        <v>297</v>
      </c>
      <c r="H77" s="117">
        <f t="shared" si="0"/>
        <v>15000</v>
      </c>
      <c r="I77" s="115">
        <f t="shared" si="1"/>
        <v>0</v>
      </c>
      <c r="J77" s="115">
        <f t="shared" si="2"/>
        <v>0</v>
      </c>
      <c r="K77" s="119">
        <v>15000</v>
      </c>
      <c r="L77" s="115"/>
      <c r="M77" s="115"/>
      <c r="N77" s="115"/>
      <c r="O77" s="115"/>
      <c r="P77" s="115"/>
      <c r="Q77" s="115"/>
      <c r="R77" s="115"/>
      <c r="S77" s="116"/>
      <c r="T77" s="116"/>
      <c r="U77" s="116"/>
      <c r="V77" s="116"/>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28" customFormat="1" ht="36" customHeight="1" x14ac:dyDescent="0.25">
      <c r="A78" s="506" t="s">
        <v>139</v>
      </c>
      <c r="B78" s="506"/>
      <c r="C78" s="506"/>
      <c r="D78" s="506"/>
      <c r="E78" s="109">
        <v>2600</v>
      </c>
      <c r="F78" s="84" t="s">
        <v>9</v>
      </c>
      <c r="G78" s="85"/>
      <c r="H78" s="117">
        <f>K78+N78+Q78</f>
        <v>2863967.46</v>
      </c>
      <c r="I78" s="117">
        <f t="shared" si="1"/>
        <v>2887050</v>
      </c>
      <c r="J78" s="117">
        <f t="shared" si="2"/>
        <v>2418950</v>
      </c>
      <c r="K78" s="120">
        <f t="shared" ref="K78:V78" si="8">K79+K80+K81+K82+K83</f>
        <v>1933967.46</v>
      </c>
      <c r="L78" s="120">
        <f t="shared" si="8"/>
        <v>2582050</v>
      </c>
      <c r="M78" s="120">
        <f t="shared" si="8"/>
        <v>2113950</v>
      </c>
      <c r="N78" s="120">
        <f t="shared" si="8"/>
        <v>630000</v>
      </c>
      <c r="O78" s="120">
        <f t="shared" si="8"/>
        <v>305000</v>
      </c>
      <c r="P78" s="120">
        <f t="shared" si="8"/>
        <v>305000</v>
      </c>
      <c r="Q78" s="120">
        <f t="shared" si="8"/>
        <v>300000</v>
      </c>
      <c r="R78" s="120">
        <f t="shared" si="8"/>
        <v>0</v>
      </c>
      <c r="S78" s="120">
        <f t="shared" si="8"/>
        <v>0</v>
      </c>
      <c r="T78" s="120">
        <f t="shared" si="8"/>
        <v>0</v>
      </c>
      <c r="U78" s="120">
        <f t="shared" si="8"/>
        <v>0</v>
      </c>
      <c r="V78" s="120">
        <f t="shared" si="8"/>
        <v>0</v>
      </c>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28" customFormat="1" ht="21.75" customHeight="1" x14ac:dyDescent="0.25">
      <c r="A79" s="319" t="s">
        <v>140</v>
      </c>
      <c r="B79" s="319"/>
      <c r="C79" s="319"/>
      <c r="D79" s="319"/>
      <c r="E79" s="84">
        <v>2610</v>
      </c>
      <c r="F79" s="84">
        <v>241</v>
      </c>
      <c r="G79" s="84"/>
      <c r="H79" s="115">
        <f t="shared" si="0"/>
        <v>0</v>
      </c>
      <c r="I79" s="115">
        <f t="shared" si="1"/>
        <v>0</v>
      </c>
      <c r="J79" s="115">
        <f t="shared" si="2"/>
        <v>0</v>
      </c>
      <c r="K79" s="119"/>
      <c r="L79" s="115"/>
      <c r="M79" s="115"/>
      <c r="N79" s="115"/>
      <c r="O79" s="115"/>
      <c r="P79" s="115"/>
      <c r="Q79" s="115"/>
      <c r="R79" s="115"/>
      <c r="S79" s="116"/>
      <c r="T79" s="116"/>
      <c r="U79" s="116"/>
      <c r="V79" s="116"/>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28" customFormat="1" ht="35.25" customHeight="1" x14ac:dyDescent="0.25">
      <c r="A80" s="326" t="s">
        <v>141</v>
      </c>
      <c r="B80" s="327"/>
      <c r="C80" s="327"/>
      <c r="D80" s="328"/>
      <c r="E80" s="84">
        <v>2620</v>
      </c>
      <c r="F80" s="84">
        <v>242</v>
      </c>
      <c r="G80" s="84"/>
      <c r="H80" s="115">
        <f t="shared" si="0"/>
        <v>0</v>
      </c>
      <c r="I80" s="115">
        <f t="shared" si="1"/>
        <v>0</v>
      </c>
      <c r="J80" s="115">
        <f t="shared" si="2"/>
        <v>0</v>
      </c>
      <c r="K80" s="119"/>
      <c r="L80" s="115"/>
      <c r="M80" s="115"/>
      <c r="N80" s="115"/>
      <c r="O80" s="115"/>
      <c r="P80" s="115"/>
      <c r="Q80" s="115"/>
      <c r="R80" s="115"/>
      <c r="S80" s="116"/>
      <c r="T80" s="116"/>
      <c r="U80" s="116"/>
      <c r="V80" s="116"/>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28" customFormat="1" ht="35.25" customHeight="1" x14ac:dyDescent="0.25">
      <c r="A81" s="326" t="s">
        <v>263</v>
      </c>
      <c r="B81" s="327"/>
      <c r="C81" s="327"/>
      <c r="D81" s="328"/>
      <c r="E81" s="84"/>
      <c r="F81" s="84">
        <v>243</v>
      </c>
      <c r="G81" s="84">
        <v>225</v>
      </c>
      <c r="H81" s="117">
        <f>K81+N81</f>
        <v>31075.08</v>
      </c>
      <c r="I81" s="115">
        <f>L81+O81</f>
        <v>0</v>
      </c>
      <c r="J81" s="115">
        <f>M81+P81</f>
        <v>0</v>
      </c>
      <c r="K81" s="119">
        <f>31075.08</f>
        <v>31075.08</v>
      </c>
      <c r="L81" s="115"/>
      <c r="M81" s="115"/>
      <c r="N81" s="115"/>
      <c r="O81" s="115"/>
      <c r="P81" s="115"/>
      <c r="Q81" s="115"/>
      <c r="R81" s="115"/>
      <c r="S81" s="116"/>
      <c r="T81" s="116"/>
      <c r="U81" s="116"/>
      <c r="V81" s="116"/>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28" customFormat="1" ht="42.75" customHeight="1" x14ac:dyDescent="0.25">
      <c r="A82" s="319" t="s">
        <v>263</v>
      </c>
      <c r="B82" s="319"/>
      <c r="C82" s="319"/>
      <c r="D82" s="319"/>
      <c r="E82" s="84">
        <v>2630</v>
      </c>
      <c r="F82" s="84">
        <v>243</v>
      </c>
      <c r="G82" s="84">
        <v>226</v>
      </c>
      <c r="H82" s="117">
        <f t="shared" si="0"/>
        <v>0</v>
      </c>
      <c r="I82" s="117">
        <f t="shared" si="1"/>
        <v>36000</v>
      </c>
      <c r="J82" s="117">
        <f t="shared" si="2"/>
        <v>0</v>
      </c>
      <c r="K82" s="120">
        <f>36000-36000</f>
        <v>0</v>
      </c>
      <c r="L82" s="117">
        <v>36000</v>
      </c>
      <c r="M82" s="117"/>
      <c r="N82" s="117"/>
      <c r="O82" s="117"/>
      <c r="P82" s="117"/>
      <c r="Q82" s="117"/>
      <c r="R82" s="117"/>
      <c r="S82" s="118"/>
      <c r="T82" s="118"/>
      <c r="U82" s="118"/>
      <c r="V82" s="118"/>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28" customFormat="1" ht="42.75" customHeight="1" x14ac:dyDescent="0.25">
      <c r="A83" s="326" t="s">
        <v>300</v>
      </c>
      <c r="B83" s="327"/>
      <c r="C83" s="327"/>
      <c r="D83" s="328"/>
      <c r="E83" s="84"/>
      <c r="F83" s="84">
        <v>244</v>
      </c>
      <c r="G83" s="84"/>
      <c r="H83" s="117">
        <f>K83+N83+Q83</f>
        <v>2832892.38</v>
      </c>
      <c r="I83" s="117">
        <f t="shared" si="1"/>
        <v>2851050</v>
      </c>
      <c r="J83" s="117">
        <f t="shared" si="2"/>
        <v>2418950</v>
      </c>
      <c r="K83" s="120">
        <f t="shared" ref="K83:S83" si="9">SUM(K84:K100)</f>
        <v>1902892.38</v>
      </c>
      <c r="L83" s="117">
        <f t="shared" si="9"/>
        <v>2546050</v>
      </c>
      <c r="M83" s="117">
        <f t="shared" si="9"/>
        <v>2113950</v>
      </c>
      <c r="N83" s="117">
        <f t="shared" si="9"/>
        <v>630000</v>
      </c>
      <c r="O83" s="117">
        <f t="shared" si="9"/>
        <v>305000</v>
      </c>
      <c r="P83" s="117">
        <f t="shared" si="9"/>
        <v>305000</v>
      </c>
      <c r="Q83" s="117">
        <f t="shared" si="9"/>
        <v>300000</v>
      </c>
      <c r="R83" s="117">
        <f t="shared" si="9"/>
        <v>0</v>
      </c>
      <c r="S83" s="118">
        <f t="shared" si="9"/>
        <v>0</v>
      </c>
      <c r="T83" s="118"/>
      <c r="U83" s="118"/>
      <c r="V83" s="118"/>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28" customFormat="1" ht="19.5" customHeight="1" x14ac:dyDescent="0.25">
      <c r="A84" s="319" t="s">
        <v>142</v>
      </c>
      <c r="B84" s="319"/>
      <c r="C84" s="319"/>
      <c r="D84" s="319"/>
      <c r="E84" s="84">
        <v>2640</v>
      </c>
      <c r="F84" s="84">
        <v>244</v>
      </c>
      <c r="G84" s="84"/>
      <c r="H84" s="115">
        <f t="shared" si="0"/>
        <v>0</v>
      </c>
      <c r="I84" s="115">
        <f t="shared" si="1"/>
        <v>0</v>
      </c>
      <c r="J84" s="115">
        <f t="shared" si="2"/>
        <v>0</v>
      </c>
      <c r="K84" s="119"/>
      <c r="L84" s="115"/>
      <c r="M84" s="115"/>
      <c r="N84" s="115"/>
      <c r="O84" s="115"/>
      <c r="P84" s="115"/>
      <c r="Q84" s="115"/>
      <c r="R84" s="115"/>
      <c r="S84" s="116"/>
      <c r="T84" s="116"/>
      <c r="U84" s="116"/>
      <c r="V84" s="116"/>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28" customFormat="1" ht="19.5" customHeight="1" x14ac:dyDescent="0.25">
      <c r="A85" s="319" t="s">
        <v>37</v>
      </c>
      <c r="B85" s="319"/>
      <c r="C85" s="319"/>
      <c r="D85" s="319"/>
      <c r="E85" s="76"/>
      <c r="F85" s="84">
        <v>244</v>
      </c>
      <c r="G85" s="84"/>
      <c r="H85" s="115">
        <f t="shared" si="0"/>
        <v>0</v>
      </c>
      <c r="I85" s="115">
        <f t="shared" si="1"/>
        <v>0</v>
      </c>
      <c r="J85" s="115">
        <f t="shared" si="2"/>
        <v>0</v>
      </c>
      <c r="K85" s="119"/>
      <c r="L85" s="115"/>
      <c r="M85" s="115"/>
      <c r="N85" s="115"/>
      <c r="O85" s="115"/>
      <c r="P85" s="115"/>
      <c r="Q85" s="115"/>
      <c r="R85" s="115"/>
      <c r="S85" s="116"/>
      <c r="T85" s="116"/>
      <c r="U85" s="116"/>
      <c r="V85" s="116"/>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28" customFormat="1" ht="19.5" customHeight="1" x14ac:dyDescent="0.25">
      <c r="A86" s="271" t="s">
        <v>310</v>
      </c>
      <c r="B86" s="272"/>
      <c r="C86" s="272"/>
      <c r="D86" s="273"/>
      <c r="E86" s="76"/>
      <c r="F86" s="84">
        <v>244</v>
      </c>
      <c r="G86" s="84">
        <v>221</v>
      </c>
      <c r="H86" s="115">
        <f t="shared" si="0"/>
        <v>21630</v>
      </c>
      <c r="I86" s="115">
        <f t="shared" si="1"/>
        <v>21630</v>
      </c>
      <c r="J86" s="115">
        <f t="shared" si="2"/>
        <v>21630</v>
      </c>
      <c r="K86" s="119">
        <v>21630</v>
      </c>
      <c r="L86" s="115">
        <v>21630</v>
      </c>
      <c r="M86" s="115">
        <v>21630</v>
      </c>
      <c r="N86" s="115"/>
      <c r="O86" s="115"/>
      <c r="P86" s="115"/>
      <c r="Q86" s="115"/>
      <c r="R86" s="115"/>
      <c r="S86" s="116"/>
      <c r="T86" s="116"/>
      <c r="U86" s="116"/>
      <c r="V86" s="116"/>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28" customFormat="1" ht="19.5" customHeight="1" x14ac:dyDescent="0.25">
      <c r="A87" s="271" t="s">
        <v>311</v>
      </c>
      <c r="B87" s="272"/>
      <c r="C87" s="272"/>
      <c r="D87" s="273"/>
      <c r="E87" s="76"/>
      <c r="F87" s="84">
        <v>244</v>
      </c>
      <c r="G87" s="84">
        <v>222</v>
      </c>
      <c r="H87" s="115">
        <f t="shared" si="0"/>
        <v>6000</v>
      </c>
      <c r="I87" s="115">
        <f t="shared" si="1"/>
        <v>6000</v>
      </c>
      <c r="J87" s="115">
        <f t="shared" si="2"/>
        <v>6000</v>
      </c>
      <c r="K87" s="119">
        <v>6000</v>
      </c>
      <c r="L87" s="115">
        <v>6000</v>
      </c>
      <c r="M87" s="115">
        <v>6000</v>
      </c>
      <c r="N87" s="115"/>
      <c r="O87" s="115"/>
      <c r="P87" s="115"/>
      <c r="Q87" s="115"/>
      <c r="R87" s="115"/>
      <c r="S87" s="116"/>
      <c r="T87" s="116"/>
      <c r="U87" s="116"/>
      <c r="V87" s="116"/>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28" customFormat="1" ht="19.5" customHeight="1" x14ac:dyDescent="0.25">
      <c r="A88" s="271" t="s">
        <v>312</v>
      </c>
      <c r="B88" s="272"/>
      <c r="C88" s="272"/>
      <c r="D88" s="273"/>
      <c r="E88" s="76"/>
      <c r="F88" s="84">
        <v>244</v>
      </c>
      <c r="G88" s="84" t="s">
        <v>297</v>
      </c>
      <c r="H88" s="115">
        <f t="shared" si="0"/>
        <v>0</v>
      </c>
      <c r="I88" s="115">
        <f t="shared" si="1"/>
        <v>358869</v>
      </c>
      <c r="J88" s="115">
        <f t="shared" si="2"/>
        <v>290000</v>
      </c>
      <c r="K88" s="119">
        <f>358869+100000-5811-453058</f>
        <v>0</v>
      </c>
      <c r="L88" s="115">
        <v>358869</v>
      </c>
      <c r="M88" s="115">
        <v>290000</v>
      </c>
      <c r="N88" s="115"/>
      <c r="O88" s="115"/>
      <c r="P88" s="115"/>
      <c r="Q88" s="115"/>
      <c r="R88" s="115"/>
      <c r="S88" s="116"/>
      <c r="T88" s="116"/>
      <c r="U88" s="116"/>
      <c r="V88" s="116"/>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28" customFormat="1" ht="19.5" customHeight="1" x14ac:dyDescent="0.25">
      <c r="A89" s="271" t="s">
        <v>313</v>
      </c>
      <c r="B89" s="272"/>
      <c r="C89" s="272"/>
      <c r="D89" s="273"/>
      <c r="E89" s="76"/>
      <c r="F89" s="84">
        <v>244</v>
      </c>
      <c r="G89" s="84" t="s">
        <v>298</v>
      </c>
      <c r="H89" s="115">
        <f t="shared" si="0"/>
        <v>44513.25</v>
      </c>
      <c r="I89" s="115">
        <f t="shared" si="1"/>
        <v>14513.25</v>
      </c>
      <c r="J89" s="115">
        <f t="shared" si="2"/>
        <v>14513.25</v>
      </c>
      <c r="K89" s="119">
        <f>14513.25+30000</f>
        <v>44513.25</v>
      </c>
      <c r="L89" s="115">
        <v>14513.25</v>
      </c>
      <c r="M89" s="115">
        <v>14513.25</v>
      </c>
      <c r="N89" s="115"/>
      <c r="O89" s="115"/>
      <c r="P89" s="115"/>
      <c r="Q89" s="115"/>
      <c r="R89" s="115"/>
      <c r="S89" s="116"/>
      <c r="T89" s="116"/>
      <c r="U89" s="116"/>
      <c r="V89" s="116"/>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28" customFormat="1" ht="19.5" customHeight="1" x14ac:dyDescent="0.25">
      <c r="A90" s="271" t="s">
        <v>314</v>
      </c>
      <c r="B90" s="272"/>
      <c r="C90" s="272"/>
      <c r="D90" s="273"/>
      <c r="E90" s="76"/>
      <c r="F90" s="84">
        <v>244</v>
      </c>
      <c r="G90" s="84" t="s">
        <v>299</v>
      </c>
      <c r="H90" s="115">
        <f t="shared" si="0"/>
        <v>0</v>
      </c>
      <c r="I90" s="115">
        <f t="shared" si="1"/>
        <v>31559.4</v>
      </c>
      <c r="J90" s="115">
        <f t="shared" si="2"/>
        <v>31559.4</v>
      </c>
      <c r="K90" s="119">
        <f>31559.4+20000-51559.4</f>
        <v>0</v>
      </c>
      <c r="L90" s="115">
        <v>31559.4</v>
      </c>
      <c r="M90" s="115">
        <v>31559.4</v>
      </c>
      <c r="N90" s="115"/>
      <c r="O90" s="115"/>
      <c r="P90" s="115"/>
      <c r="Q90" s="115"/>
      <c r="R90" s="115"/>
      <c r="S90" s="116"/>
      <c r="T90" s="116"/>
      <c r="U90" s="116"/>
      <c r="V90" s="116"/>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28" customFormat="1" ht="19.5" customHeight="1" x14ac:dyDescent="0.25">
      <c r="A91" s="271" t="s">
        <v>315</v>
      </c>
      <c r="B91" s="272"/>
      <c r="C91" s="272"/>
      <c r="D91" s="273"/>
      <c r="E91" s="76"/>
      <c r="F91" s="84">
        <v>244</v>
      </c>
      <c r="G91" s="109">
        <v>225</v>
      </c>
      <c r="H91" s="119">
        <f t="shared" si="0"/>
        <v>16000</v>
      </c>
      <c r="I91" s="119">
        <f t="shared" si="1"/>
        <v>206828.35</v>
      </c>
      <c r="J91" s="119">
        <f t="shared" si="2"/>
        <v>130000</v>
      </c>
      <c r="K91" s="119">
        <f>230550+300000-514550</f>
        <v>16000</v>
      </c>
      <c r="L91" s="119">
        <f>200000+6828.35</f>
        <v>206828.35</v>
      </c>
      <c r="M91" s="119">
        <v>130000</v>
      </c>
      <c r="N91" s="119"/>
      <c r="O91" s="119"/>
      <c r="P91" s="119"/>
      <c r="Q91" s="115"/>
      <c r="R91" s="115"/>
      <c r="S91" s="116"/>
      <c r="T91" s="116"/>
      <c r="U91" s="116"/>
      <c r="V91" s="116"/>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28" customFormat="1" ht="19.5" customHeight="1" x14ac:dyDescent="0.25">
      <c r="A92" s="313" t="s">
        <v>300</v>
      </c>
      <c r="B92" s="314"/>
      <c r="C92" s="314"/>
      <c r="D92" s="315"/>
      <c r="E92" s="76"/>
      <c r="F92" s="84">
        <v>244</v>
      </c>
      <c r="G92" s="109">
        <v>226</v>
      </c>
      <c r="H92" s="119">
        <f>K92+N92+Q92</f>
        <v>926099.13</v>
      </c>
      <c r="I92" s="119">
        <f t="shared" si="1"/>
        <v>748000</v>
      </c>
      <c r="J92" s="119">
        <f t="shared" si="2"/>
        <v>748000</v>
      </c>
      <c r="K92" s="119">
        <f>583000+118099.13-30000</f>
        <v>671099.13</v>
      </c>
      <c r="L92" s="119">
        <v>583000</v>
      </c>
      <c r="M92" s="119">
        <v>583000</v>
      </c>
      <c r="N92" s="119">
        <v>250000</v>
      </c>
      <c r="O92" s="119">
        <f>215000-50000</f>
        <v>165000</v>
      </c>
      <c r="P92" s="119">
        <v>165000</v>
      </c>
      <c r="Q92" s="115">
        <f>5000</f>
        <v>5000</v>
      </c>
      <c r="R92" s="115"/>
      <c r="S92" s="116"/>
      <c r="T92" s="116"/>
      <c r="U92" s="116"/>
      <c r="V92" s="116"/>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28" customFormat="1" ht="19.5" customHeight="1" x14ac:dyDescent="0.25">
      <c r="A93" s="313" t="s">
        <v>362</v>
      </c>
      <c r="B93" s="314"/>
      <c r="C93" s="314"/>
      <c r="D93" s="315"/>
      <c r="E93" s="76"/>
      <c r="F93" s="84">
        <v>244</v>
      </c>
      <c r="G93" s="109">
        <v>227</v>
      </c>
      <c r="H93" s="119">
        <f t="shared" si="0"/>
        <v>6000</v>
      </c>
      <c r="I93" s="119">
        <f t="shared" si="1"/>
        <v>0</v>
      </c>
      <c r="J93" s="119">
        <f t="shared" si="2"/>
        <v>0</v>
      </c>
      <c r="K93" s="119">
        <f>6000</f>
        <v>6000</v>
      </c>
      <c r="L93" s="119"/>
      <c r="M93" s="119"/>
      <c r="N93" s="119"/>
      <c r="O93" s="119"/>
      <c r="P93" s="119"/>
      <c r="Q93" s="115"/>
      <c r="R93" s="115"/>
      <c r="S93" s="116"/>
      <c r="T93" s="116"/>
      <c r="U93" s="116"/>
      <c r="V93" s="116"/>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28" customFormat="1" ht="19.5" customHeight="1" x14ac:dyDescent="0.25">
      <c r="A94" s="271" t="s">
        <v>305</v>
      </c>
      <c r="B94" s="272"/>
      <c r="C94" s="272"/>
      <c r="D94" s="273"/>
      <c r="E94" s="76"/>
      <c r="F94" s="84">
        <v>244</v>
      </c>
      <c r="G94" s="109">
        <v>310</v>
      </c>
      <c r="H94" s="119">
        <f t="shared" si="0"/>
        <v>840000</v>
      </c>
      <c r="I94" s="119">
        <f t="shared" si="1"/>
        <v>600000</v>
      </c>
      <c r="J94" s="119">
        <f t="shared" si="2"/>
        <v>600000</v>
      </c>
      <c r="K94" s="119">
        <f>420000+70000</f>
        <v>490000</v>
      </c>
      <c r="L94" s="119">
        <f>420000+70000</f>
        <v>490000</v>
      </c>
      <c r="M94" s="119">
        <f>420000+70000</f>
        <v>490000</v>
      </c>
      <c r="N94" s="119">
        <f>150000+100000+100000</f>
        <v>350000</v>
      </c>
      <c r="O94" s="119">
        <f>110000-50000+50000</f>
        <v>110000</v>
      </c>
      <c r="P94" s="119">
        <f>60000+50000</f>
        <v>110000</v>
      </c>
      <c r="Q94" s="115"/>
      <c r="R94" s="115"/>
      <c r="S94" s="116"/>
      <c r="T94" s="116"/>
      <c r="U94" s="116"/>
      <c r="V94" s="116"/>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28" customFormat="1" ht="27.75" customHeight="1" x14ac:dyDescent="0.25">
      <c r="A95" s="313" t="s">
        <v>316</v>
      </c>
      <c r="B95" s="314"/>
      <c r="C95" s="314"/>
      <c r="D95" s="315"/>
      <c r="E95" s="76"/>
      <c r="F95" s="84">
        <v>244</v>
      </c>
      <c r="G95" s="109">
        <v>341</v>
      </c>
      <c r="H95" s="119">
        <f>K95+N95+Q95</f>
        <v>623910</v>
      </c>
      <c r="I95" s="119">
        <f t="shared" si="1"/>
        <v>550000</v>
      </c>
      <c r="J95" s="119">
        <f t="shared" si="2"/>
        <v>263597.34999999998</v>
      </c>
      <c r="K95" s="119">
        <f>739000-70000-35000-200000</f>
        <v>434000</v>
      </c>
      <c r="L95" s="119">
        <f>600000-70000</f>
        <v>530000</v>
      </c>
      <c r="M95" s="119">
        <f>300000+13597.35-70000</f>
        <v>243597.35</v>
      </c>
      <c r="N95" s="119">
        <f>60000-60000</f>
        <v>0</v>
      </c>
      <c r="O95" s="119">
        <v>20000</v>
      </c>
      <c r="P95" s="119">
        <v>20000</v>
      </c>
      <c r="Q95" s="115">
        <f>189910</f>
        <v>189910</v>
      </c>
      <c r="R95" s="115"/>
      <c r="S95" s="116"/>
      <c r="T95" s="116"/>
      <c r="U95" s="116"/>
      <c r="V95" s="116"/>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28" customFormat="1" ht="27" customHeight="1" x14ac:dyDescent="0.25">
      <c r="A96" s="313" t="s">
        <v>303</v>
      </c>
      <c r="B96" s="314"/>
      <c r="C96" s="314"/>
      <c r="D96" s="315"/>
      <c r="E96" s="76"/>
      <c r="F96" s="84">
        <v>244</v>
      </c>
      <c r="G96" s="109">
        <v>343</v>
      </c>
      <c r="H96" s="119">
        <f>K96+N96</f>
        <v>1200</v>
      </c>
      <c r="I96" s="119">
        <f t="shared" si="1"/>
        <v>101200</v>
      </c>
      <c r="J96" s="119">
        <f t="shared" si="2"/>
        <v>101200</v>
      </c>
      <c r="K96" s="119">
        <f>101200-100000</f>
        <v>1200</v>
      </c>
      <c r="L96" s="119">
        <v>101200</v>
      </c>
      <c r="M96" s="119">
        <v>101200</v>
      </c>
      <c r="N96" s="119"/>
      <c r="O96" s="119"/>
      <c r="P96" s="119"/>
      <c r="Q96" s="115"/>
      <c r="R96" s="115"/>
      <c r="S96" s="116"/>
      <c r="T96" s="116"/>
      <c r="U96" s="116"/>
      <c r="V96" s="116"/>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28" customFormat="1" ht="27" customHeight="1" x14ac:dyDescent="0.25">
      <c r="A97" s="571" t="s">
        <v>389</v>
      </c>
      <c r="B97" s="572"/>
      <c r="C97" s="572"/>
      <c r="D97" s="573"/>
      <c r="E97" s="76"/>
      <c r="F97" s="84">
        <v>244</v>
      </c>
      <c r="G97" s="109">
        <v>344</v>
      </c>
      <c r="H97" s="119">
        <f>K97+N97</f>
        <v>10000</v>
      </c>
      <c r="I97" s="119">
        <f>L97+O97</f>
        <v>0</v>
      </c>
      <c r="J97" s="119">
        <f>M97+P97</f>
        <v>0</v>
      </c>
      <c r="K97" s="119">
        <f>10000</f>
        <v>10000</v>
      </c>
      <c r="L97" s="119"/>
      <c r="M97" s="119"/>
      <c r="N97" s="119"/>
      <c r="O97" s="119"/>
      <c r="P97" s="119"/>
      <c r="Q97" s="115"/>
      <c r="R97" s="115"/>
      <c r="S97" s="116"/>
      <c r="T97" s="116"/>
      <c r="U97" s="116"/>
      <c r="V97" s="116"/>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28" customFormat="1" ht="19.5" customHeight="1" x14ac:dyDescent="0.25">
      <c r="A98" s="313" t="s">
        <v>317</v>
      </c>
      <c r="B98" s="314"/>
      <c r="C98" s="314"/>
      <c r="D98" s="315"/>
      <c r="E98" s="76"/>
      <c r="F98" s="84">
        <v>244</v>
      </c>
      <c r="G98" s="109">
        <v>345</v>
      </c>
      <c r="H98" s="119">
        <f>K98+N98+Q98</f>
        <v>135090</v>
      </c>
      <c r="I98" s="119">
        <f t="shared" si="1"/>
        <v>10000</v>
      </c>
      <c r="J98" s="119">
        <f t="shared" si="2"/>
        <v>10000</v>
      </c>
      <c r="K98" s="119"/>
      <c r="L98" s="119"/>
      <c r="M98" s="119"/>
      <c r="N98" s="119">
        <f>30000+200000-200000</f>
        <v>30000</v>
      </c>
      <c r="O98" s="119">
        <v>10000</v>
      </c>
      <c r="P98" s="119">
        <v>10000</v>
      </c>
      <c r="Q98" s="115">
        <f>200000-94910</f>
        <v>105090</v>
      </c>
      <c r="R98" s="115"/>
      <c r="S98" s="116"/>
      <c r="T98" s="116"/>
      <c r="U98" s="116"/>
      <c r="V98" s="116"/>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28" customFormat="1" ht="30.75" customHeight="1" x14ac:dyDescent="0.25">
      <c r="A99" s="313" t="s">
        <v>304</v>
      </c>
      <c r="B99" s="314"/>
      <c r="C99" s="314"/>
      <c r="D99" s="315"/>
      <c r="E99" s="76"/>
      <c r="F99" s="84">
        <v>244</v>
      </c>
      <c r="G99" s="109">
        <v>346</v>
      </c>
      <c r="H99" s="119">
        <f>K99+N99</f>
        <v>182450</v>
      </c>
      <c r="I99" s="119">
        <f t="shared" si="1"/>
        <v>182450</v>
      </c>
      <c r="J99" s="119">
        <f t="shared" si="2"/>
        <v>182450</v>
      </c>
      <c r="K99" s="119">
        <v>182450</v>
      </c>
      <c r="L99" s="119">
        <v>182450</v>
      </c>
      <c r="M99" s="119">
        <v>182450</v>
      </c>
      <c r="N99" s="119"/>
      <c r="O99" s="119"/>
      <c r="P99" s="119"/>
      <c r="Q99" s="115"/>
      <c r="R99" s="115"/>
      <c r="S99" s="116"/>
      <c r="T99" s="116"/>
      <c r="U99" s="116"/>
      <c r="V99" s="116"/>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row>
    <row r="100" spans="1:75" s="28" customFormat="1" ht="28.5" customHeight="1" x14ac:dyDescent="0.25">
      <c r="A100" s="313" t="s">
        <v>318</v>
      </c>
      <c r="B100" s="314"/>
      <c r="C100" s="314"/>
      <c r="D100" s="315"/>
      <c r="E100" s="76"/>
      <c r="F100" s="84">
        <v>244</v>
      </c>
      <c r="G100" s="109">
        <v>349</v>
      </c>
      <c r="H100" s="119">
        <f>K100+N100</f>
        <v>20000</v>
      </c>
      <c r="I100" s="119">
        <f t="shared" si="1"/>
        <v>20000</v>
      </c>
      <c r="J100" s="119">
        <f t="shared" si="2"/>
        <v>20000</v>
      </c>
      <c r="K100" s="119">
        <v>20000</v>
      </c>
      <c r="L100" s="119">
        <v>20000</v>
      </c>
      <c r="M100" s="119">
        <v>20000</v>
      </c>
      <c r="N100" s="119"/>
      <c r="O100" s="119"/>
      <c r="P100" s="119"/>
      <c r="Q100" s="115"/>
      <c r="R100" s="115"/>
      <c r="S100" s="116"/>
      <c r="T100" s="116"/>
      <c r="U100" s="116"/>
      <c r="V100" s="116"/>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28" customFormat="1" ht="32.25" customHeight="1" x14ac:dyDescent="0.25">
      <c r="A101" s="319" t="s">
        <v>264</v>
      </c>
      <c r="B101" s="319"/>
      <c r="C101" s="319"/>
      <c r="D101" s="319"/>
      <c r="E101" s="84">
        <v>2650</v>
      </c>
      <c r="F101" s="84">
        <v>400</v>
      </c>
      <c r="G101" s="109"/>
      <c r="H101" s="119">
        <f t="shared" si="0"/>
        <v>0</v>
      </c>
      <c r="I101" s="119">
        <f t="shared" si="1"/>
        <v>0</v>
      </c>
      <c r="J101" s="119">
        <f t="shared" si="2"/>
        <v>0</v>
      </c>
      <c r="K101" s="119"/>
      <c r="L101" s="119"/>
      <c r="M101" s="119"/>
      <c r="N101" s="119"/>
      <c r="O101" s="119"/>
      <c r="P101" s="119"/>
      <c r="Q101" s="115"/>
      <c r="R101" s="115"/>
      <c r="S101" s="116"/>
      <c r="T101" s="116"/>
      <c r="U101" s="116"/>
      <c r="V101" s="116"/>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s="28" customFormat="1" ht="43.5" customHeight="1" x14ac:dyDescent="0.25">
      <c r="A102" s="319" t="s">
        <v>265</v>
      </c>
      <c r="B102" s="319"/>
      <c r="C102" s="319"/>
      <c r="D102" s="319"/>
      <c r="E102" s="84">
        <v>2651</v>
      </c>
      <c r="F102" s="84">
        <v>406</v>
      </c>
      <c r="G102" s="84"/>
      <c r="H102" s="115">
        <f t="shared" si="0"/>
        <v>0</v>
      </c>
      <c r="I102" s="115">
        <f t="shared" si="1"/>
        <v>0</v>
      </c>
      <c r="J102" s="115">
        <f t="shared" si="2"/>
        <v>0</v>
      </c>
      <c r="K102" s="115"/>
      <c r="L102" s="115"/>
      <c r="M102" s="115"/>
      <c r="N102" s="115"/>
      <c r="O102" s="115"/>
      <c r="P102" s="115"/>
      <c r="Q102" s="115"/>
      <c r="R102" s="115"/>
      <c r="S102" s="116"/>
      <c r="T102" s="116"/>
      <c r="U102" s="116"/>
      <c r="V102" s="116"/>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28" customFormat="1" ht="34.5" customHeight="1" x14ac:dyDescent="0.25">
      <c r="A103" s="319" t="s">
        <v>266</v>
      </c>
      <c r="B103" s="319"/>
      <c r="C103" s="319"/>
      <c r="D103" s="319"/>
      <c r="E103" s="84">
        <v>2652</v>
      </c>
      <c r="F103" s="84">
        <v>407</v>
      </c>
      <c r="G103" s="84"/>
      <c r="H103" s="115">
        <f t="shared" si="0"/>
        <v>0</v>
      </c>
      <c r="I103" s="115">
        <f t="shared" si="1"/>
        <v>0</v>
      </c>
      <c r="J103" s="115">
        <f t="shared" si="2"/>
        <v>0</v>
      </c>
      <c r="K103" s="115"/>
      <c r="L103" s="115"/>
      <c r="M103" s="115"/>
      <c r="N103" s="115"/>
      <c r="O103" s="115"/>
      <c r="P103" s="115"/>
      <c r="Q103" s="115"/>
      <c r="R103" s="115"/>
      <c r="S103" s="116"/>
      <c r="T103" s="116"/>
      <c r="U103" s="116"/>
      <c r="V103" s="116"/>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row>
    <row r="104" spans="1:75" s="28" customFormat="1" ht="19.5" customHeight="1" x14ac:dyDescent="0.25">
      <c r="A104" s="472" t="s">
        <v>143</v>
      </c>
      <c r="B104" s="472"/>
      <c r="C104" s="472"/>
      <c r="D104" s="472"/>
      <c r="E104" s="85">
        <v>3000</v>
      </c>
      <c r="F104" s="85">
        <v>100</v>
      </c>
      <c r="G104" s="85"/>
      <c r="H104" s="117">
        <f t="shared" si="0"/>
        <v>-5811</v>
      </c>
      <c r="I104" s="117">
        <f t="shared" si="1"/>
        <v>0</v>
      </c>
      <c r="J104" s="117">
        <f t="shared" si="2"/>
        <v>0</v>
      </c>
      <c r="K104" s="115">
        <f>K106</f>
        <v>-5811</v>
      </c>
      <c r="L104" s="117"/>
      <c r="M104" s="117"/>
      <c r="N104" s="117"/>
      <c r="O104" s="117"/>
      <c r="P104" s="117"/>
      <c r="Q104" s="117"/>
      <c r="R104" s="117"/>
      <c r="S104" s="118"/>
      <c r="T104" s="118"/>
      <c r="U104" s="118"/>
      <c r="V104" s="118"/>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row>
    <row r="105" spans="1:75" s="28" customFormat="1" ht="30.75" customHeight="1" x14ac:dyDescent="0.25">
      <c r="A105" s="319" t="s">
        <v>144</v>
      </c>
      <c r="B105" s="319"/>
      <c r="C105" s="319"/>
      <c r="D105" s="319"/>
      <c r="E105" s="84">
        <v>3010</v>
      </c>
      <c r="F105" s="84"/>
      <c r="G105" s="84"/>
      <c r="H105" s="115">
        <f t="shared" si="0"/>
        <v>0</v>
      </c>
      <c r="I105" s="115">
        <f t="shared" si="1"/>
        <v>0</v>
      </c>
      <c r="J105" s="115">
        <f t="shared" si="2"/>
        <v>0</v>
      </c>
      <c r="K105" s="115"/>
      <c r="L105" s="115"/>
      <c r="M105" s="115"/>
      <c r="N105" s="115"/>
      <c r="O105" s="115"/>
      <c r="P105" s="115"/>
      <c r="Q105" s="115"/>
      <c r="R105" s="115"/>
      <c r="S105" s="116"/>
      <c r="T105" s="116"/>
      <c r="U105" s="116"/>
      <c r="V105" s="116"/>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row>
    <row r="106" spans="1:75" s="28" customFormat="1" ht="19.5" customHeight="1" x14ac:dyDescent="0.25">
      <c r="A106" s="319" t="s">
        <v>145</v>
      </c>
      <c r="B106" s="319"/>
      <c r="C106" s="319"/>
      <c r="D106" s="319"/>
      <c r="E106" s="84">
        <v>3020</v>
      </c>
      <c r="F106" s="84"/>
      <c r="G106" s="84"/>
      <c r="H106" s="115">
        <f t="shared" ref="H106:J109" si="10">K106+N106</f>
        <v>-5811</v>
      </c>
      <c r="I106" s="115">
        <f t="shared" si="10"/>
        <v>0</v>
      </c>
      <c r="J106" s="115">
        <f t="shared" si="10"/>
        <v>0</v>
      </c>
      <c r="K106" s="115">
        <v>-5811</v>
      </c>
      <c r="L106" s="115"/>
      <c r="M106" s="115"/>
      <c r="N106" s="115"/>
      <c r="O106" s="115"/>
      <c r="P106" s="115"/>
      <c r="Q106" s="115"/>
      <c r="R106" s="115"/>
      <c r="S106" s="116"/>
      <c r="T106" s="116"/>
      <c r="U106" s="116"/>
      <c r="V106" s="116"/>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row>
    <row r="107" spans="1:75" s="28" customFormat="1" ht="19.5" customHeight="1" x14ac:dyDescent="0.25">
      <c r="A107" s="319" t="s">
        <v>146</v>
      </c>
      <c r="B107" s="319"/>
      <c r="C107" s="319"/>
      <c r="D107" s="319"/>
      <c r="E107" s="84">
        <v>3030</v>
      </c>
      <c r="F107" s="84"/>
      <c r="G107" s="84"/>
      <c r="H107" s="115">
        <f t="shared" si="10"/>
        <v>0</v>
      </c>
      <c r="I107" s="115">
        <f t="shared" si="10"/>
        <v>0</v>
      </c>
      <c r="J107" s="115">
        <f t="shared" si="10"/>
        <v>0</v>
      </c>
      <c r="K107" s="115"/>
      <c r="L107" s="115"/>
      <c r="M107" s="115"/>
      <c r="N107" s="115"/>
      <c r="O107" s="115"/>
      <c r="P107" s="115"/>
      <c r="Q107" s="115"/>
      <c r="R107" s="115"/>
      <c r="S107" s="116"/>
      <c r="T107" s="116"/>
      <c r="U107" s="116"/>
      <c r="V107" s="116"/>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row>
    <row r="108" spans="1:75" s="28" customFormat="1" ht="19.5" customHeight="1" x14ac:dyDescent="0.25">
      <c r="A108" s="472" t="s">
        <v>147</v>
      </c>
      <c r="B108" s="472"/>
      <c r="C108" s="472"/>
      <c r="D108" s="472"/>
      <c r="E108" s="85">
        <v>4000</v>
      </c>
      <c r="F108" s="85" t="s">
        <v>9</v>
      </c>
      <c r="G108" s="85"/>
      <c r="H108" s="117">
        <f t="shared" si="10"/>
        <v>0</v>
      </c>
      <c r="I108" s="117">
        <f t="shared" si="10"/>
        <v>0</v>
      </c>
      <c r="J108" s="117">
        <f t="shared" si="10"/>
        <v>0</v>
      </c>
      <c r="K108" s="115"/>
      <c r="L108" s="117"/>
      <c r="M108" s="117"/>
      <c r="N108" s="117"/>
      <c r="O108" s="117"/>
      <c r="P108" s="117"/>
      <c r="Q108" s="117"/>
      <c r="R108" s="117"/>
      <c r="S108" s="118"/>
      <c r="T108" s="118"/>
      <c r="U108" s="118"/>
      <c r="V108" s="118"/>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row>
    <row r="109" spans="1:75" s="28" customFormat="1" ht="26.25" customHeight="1" x14ac:dyDescent="0.25">
      <c r="A109" s="319" t="s">
        <v>148</v>
      </c>
      <c r="B109" s="319"/>
      <c r="C109" s="319"/>
      <c r="D109" s="319"/>
      <c r="E109" s="84">
        <v>4010</v>
      </c>
      <c r="F109" s="76">
        <v>610</v>
      </c>
      <c r="G109" s="84"/>
      <c r="H109" s="115">
        <f t="shared" si="10"/>
        <v>0</v>
      </c>
      <c r="I109" s="115">
        <f t="shared" si="10"/>
        <v>0</v>
      </c>
      <c r="J109" s="115">
        <f t="shared" si="10"/>
        <v>0</v>
      </c>
      <c r="K109" s="115"/>
      <c r="L109" s="115"/>
      <c r="M109" s="115"/>
      <c r="N109" s="115"/>
      <c r="O109" s="115"/>
      <c r="P109" s="115"/>
      <c r="Q109" s="115"/>
      <c r="R109" s="115"/>
      <c r="S109" s="116"/>
      <c r="T109" s="116"/>
      <c r="U109" s="116"/>
      <c r="V109" s="116"/>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row>
    <row r="110" spans="1:75" s="28" customFormat="1" ht="19.5" customHeight="1" x14ac:dyDescent="0.25">
      <c r="A110" s="79"/>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row>
    <row r="111" spans="1:75" s="70" customFormat="1" ht="20.25" customHeight="1" x14ac:dyDescent="0.25">
      <c r="A111" s="36" t="s">
        <v>225</v>
      </c>
      <c r="B111" s="14"/>
      <c r="C111" s="18"/>
      <c r="D111" s="103"/>
      <c r="E111" s="15"/>
      <c r="F111" s="18"/>
      <c r="G111" s="103"/>
      <c r="H111" s="29"/>
      <c r="I111" s="35"/>
      <c r="J111" s="18"/>
      <c r="K111" s="106" t="s">
        <v>280</v>
      </c>
      <c r="L111" s="106"/>
      <c r="M111" s="71"/>
      <c r="N111" s="71"/>
      <c r="O111" s="71"/>
      <c r="P111" s="71"/>
      <c r="Q111" s="71"/>
      <c r="R111" s="71"/>
      <c r="S111" s="71"/>
      <c r="T111" s="71"/>
      <c r="U111" s="71"/>
      <c r="V111" s="71"/>
    </row>
    <row r="112" spans="1:75" s="70" customFormat="1" ht="11.25" customHeight="1" x14ac:dyDescent="0.2">
      <c r="A112" s="37"/>
      <c r="B112" s="16" t="s">
        <v>30</v>
      </c>
      <c r="C112" s="517"/>
      <c r="D112" s="517"/>
      <c r="E112" s="16"/>
      <c r="F112" s="517"/>
      <c r="G112" s="517"/>
      <c r="H112" s="518" t="s">
        <v>31</v>
      </c>
      <c r="I112" s="518"/>
      <c r="J112" s="54"/>
      <c r="K112" s="524" t="s">
        <v>11</v>
      </c>
      <c r="L112" s="524"/>
      <c r="M112" s="71"/>
      <c r="N112" s="71"/>
      <c r="O112" s="71"/>
      <c r="P112" s="71"/>
      <c r="Q112" s="71"/>
      <c r="R112" s="71"/>
      <c r="S112" s="71"/>
      <c r="T112" s="71"/>
      <c r="U112" s="71"/>
      <c r="V112" s="71"/>
    </row>
    <row r="113" spans="1:148" s="70" customFormat="1" ht="23.25" customHeight="1" x14ac:dyDescent="0.25">
      <c r="A113" s="36" t="s">
        <v>251</v>
      </c>
      <c r="B113" s="14"/>
      <c r="C113" s="18"/>
      <c r="D113" s="103"/>
      <c r="E113" s="15"/>
      <c r="F113" s="18"/>
      <c r="G113" s="103"/>
      <c r="H113" s="29"/>
      <c r="I113" s="35"/>
      <c r="J113" s="18"/>
      <c r="K113" s="106" t="s">
        <v>282</v>
      </c>
      <c r="L113" s="106"/>
      <c r="M113" s="71"/>
      <c r="N113" s="71"/>
      <c r="O113" s="71"/>
      <c r="P113" s="71"/>
      <c r="Q113" s="71"/>
      <c r="R113" s="71"/>
      <c r="S113" s="71"/>
      <c r="T113" s="71"/>
      <c r="U113" s="71"/>
      <c r="V113" s="71"/>
    </row>
    <row r="114" spans="1:148" s="70" customFormat="1" ht="20.25" customHeight="1" x14ac:dyDescent="0.2">
      <c r="A114" s="31"/>
      <c r="B114" s="16"/>
      <c r="C114" s="520"/>
      <c r="D114" s="520"/>
      <c r="E114" s="16"/>
      <c r="F114" s="520"/>
      <c r="G114" s="520"/>
      <c r="H114" s="521" t="s">
        <v>31</v>
      </c>
      <c r="I114" s="521"/>
      <c r="J114" s="54"/>
      <c r="K114" s="524" t="s">
        <v>11</v>
      </c>
      <c r="L114" s="524"/>
      <c r="M114" s="71"/>
      <c r="N114" s="71"/>
      <c r="O114" s="71"/>
      <c r="P114" s="71"/>
      <c r="Q114" s="71"/>
      <c r="R114" s="71"/>
      <c r="S114" s="71"/>
      <c r="T114" s="71"/>
      <c r="U114" s="71"/>
      <c r="V114" s="71"/>
    </row>
    <row r="115" spans="1:148" s="70" customFormat="1" ht="20.25" customHeight="1" x14ac:dyDescent="0.2">
      <c r="A115" s="31"/>
      <c r="B115" s="521" t="s">
        <v>248</v>
      </c>
      <c r="C115" s="521"/>
      <c r="D115" s="75"/>
      <c r="E115" s="16"/>
      <c r="F115" s="75"/>
      <c r="G115" s="75"/>
      <c r="H115" s="74"/>
      <c r="I115" s="74"/>
      <c r="J115" s="54"/>
      <c r="K115" s="107"/>
      <c r="L115" s="107"/>
      <c r="M115" s="71"/>
      <c r="N115" s="71"/>
      <c r="O115" s="71"/>
      <c r="P115" s="71"/>
      <c r="Q115" s="71"/>
      <c r="R115" s="71"/>
      <c r="S115" s="71"/>
      <c r="T115" s="71"/>
      <c r="U115" s="71"/>
      <c r="V115" s="71"/>
    </row>
    <row r="116" spans="1:148" s="70" customFormat="1" ht="24" customHeight="1" x14ac:dyDescent="0.25">
      <c r="A116" s="36" t="s">
        <v>228</v>
      </c>
      <c r="B116" s="14"/>
      <c r="C116" s="18"/>
      <c r="D116" s="103"/>
      <c r="E116" s="15"/>
      <c r="F116" s="18"/>
      <c r="G116" s="103"/>
      <c r="H116" s="29"/>
      <c r="I116" s="35"/>
      <c r="J116" s="18"/>
      <c r="K116" s="106" t="s">
        <v>282</v>
      </c>
      <c r="L116" s="106"/>
      <c r="M116" s="71"/>
      <c r="N116" s="71"/>
      <c r="O116" s="71"/>
      <c r="P116" s="71"/>
      <c r="Q116" s="71"/>
      <c r="R116" s="71"/>
      <c r="S116" s="71"/>
      <c r="T116" s="71"/>
      <c r="U116" s="71"/>
      <c r="V116" s="71"/>
    </row>
    <row r="117" spans="1:148" s="70" customFormat="1" ht="22.5" customHeight="1" x14ac:dyDescent="0.2">
      <c r="A117" s="31"/>
      <c r="B117" s="16"/>
      <c r="C117" s="520"/>
      <c r="D117" s="520"/>
      <c r="E117" s="16"/>
      <c r="F117" s="520"/>
      <c r="G117" s="520"/>
      <c r="H117" s="521" t="s">
        <v>31</v>
      </c>
      <c r="I117" s="521"/>
      <c r="J117" s="54"/>
      <c r="K117" s="522" t="s">
        <v>11</v>
      </c>
      <c r="L117" s="522"/>
      <c r="M117" s="71"/>
      <c r="N117" s="71"/>
      <c r="O117" s="71"/>
      <c r="P117" s="71"/>
      <c r="Q117" s="71"/>
      <c r="R117" s="71"/>
      <c r="S117" s="71"/>
      <c r="T117" s="71"/>
      <c r="U117" s="71"/>
      <c r="V117" s="71"/>
    </row>
    <row r="118" spans="1:148" s="70" customFormat="1" ht="19.5" customHeight="1" x14ac:dyDescent="0.2">
      <c r="A118" s="102"/>
      <c r="B118" s="523"/>
      <c r="C118" s="523"/>
      <c r="D118" s="102"/>
      <c r="E118" s="71"/>
      <c r="F118" s="71"/>
      <c r="G118" s="71"/>
      <c r="H118" s="71"/>
      <c r="I118" s="71"/>
      <c r="J118" s="71"/>
      <c r="K118" s="71"/>
      <c r="L118" s="71"/>
      <c r="M118" s="71"/>
      <c r="N118" s="71"/>
      <c r="O118" s="71"/>
      <c r="P118" s="71"/>
      <c r="Q118" s="71"/>
      <c r="R118" s="71"/>
      <c r="S118" s="71"/>
      <c r="T118" s="71"/>
      <c r="U118" s="71"/>
      <c r="V118" s="71"/>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row>
    <row r="119" spans="1:148" s="70" customFormat="1" ht="10.5" customHeight="1" x14ac:dyDescent="0.2">
      <c r="A119" s="256" t="s">
        <v>149</v>
      </c>
      <c r="B119" s="256"/>
      <c r="C119" s="256"/>
      <c r="D119" s="256"/>
      <c r="E119" s="256"/>
      <c r="F119" s="256"/>
      <c r="G119" s="256"/>
      <c r="H119" s="256"/>
      <c r="I119" s="256"/>
      <c r="J119" s="256"/>
      <c r="K119" s="256"/>
      <c r="L119" s="256"/>
      <c r="M119" s="256"/>
      <c r="N119" s="256"/>
    </row>
    <row r="120" spans="1:148" s="70" customFormat="1" ht="14.25" customHeight="1" x14ac:dyDescent="0.2">
      <c r="A120" s="256" t="s">
        <v>268</v>
      </c>
      <c r="B120" s="256"/>
      <c r="C120" s="256"/>
      <c r="D120" s="256"/>
      <c r="E120" s="256"/>
      <c r="F120" s="256"/>
      <c r="G120" s="256"/>
      <c r="H120" s="256"/>
      <c r="I120" s="256"/>
      <c r="J120" s="256"/>
      <c r="K120" s="256"/>
      <c r="L120" s="256"/>
      <c r="M120" s="256"/>
      <c r="N120" s="256"/>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row>
    <row r="121" spans="1:148" s="70" customFormat="1" ht="12" customHeight="1" x14ac:dyDescent="0.2">
      <c r="A121" s="256" t="s">
        <v>150</v>
      </c>
      <c r="B121" s="256"/>
      <c r="C121" s="256"/>
      <c r="D121" s="256"/>
      <c r="E121" s="256"/>
      <c r="F121" s="256"/>
      <c r="G121" s="256"/>
      <c r="H121" s="256"/>
      <c r="I121" s="256"/>
      <c r="J121" s="256"/>
      <c r="K121" s="256"/>
      <c r="L121" s="256"/>
      <c r="M121" s="256"/>
      <c r="N121" s="256"/>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row>
    <row r="122" spans="1:148" s="70" customFormat="1" ht="17.25" customHeight="1" x14ac:dyDescent="0.2">
      <c r="A122" s="262" t="s">
        <v>151</v>
      </c>
      <c r="B122" s="262"/>
      <c r="C122" s="262"/>
      <c r="D122" s="262"/>
      <c r="E122" s="262"/>
      <c r="F122" s="262"/>
      <c r="G122" s="262"/>
      <c r="H122" s="262"/>
      <c r="I122" s="262"/>
      <c r="J122" s="262"/>
      <c r="K122" s="262"/>
      <c r="L122" s="262"/>
      <c r="M122" s="262"/>
      <c r="N122" s="262"/>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row>
    <row r="123" spans="1:148" s="70" customFormat="1" ht="11.25" customHeight="1" x14ac:dyDescent="0.2">
      <c r="A123" s="262" t="s">
        <v>152</v>
      </c>
      <c r="B123" s="262"/>
      <c r="C123" s="262"/>
      <c r="D123" s="262"/>
      <c r="E123" s="262"/>
      <c r="F123" s="262"/>
      <c r="G123" s="262"/>
      <c r="H123" s="262"/>
      <c r="I123" s="262"/>
      <c r="J123" s="262"/>
      <c r="K123" s="262"/>
      <c r="L123" s="262"/>
      <c r="M123" s="262"/>
      <c r="N123" s="262"/>
    </row>
    <row r="124" spans="1:148" s="70" customFormat="1" ht="11.25" customHeight="1" x14ac:dyDescent="0.2">
      <c r="A124" s="262" t="s">
        <v>153</v>
      </c>
      <c r="B124" s="262"/>
      <c r="C124" s="262"/>
      <c r="D124" s="262"/>
      <c r="E124" s="262"/>
      <c r="F124" s="262"/>
      <c r="G124" s="262"/>
      <c r="H124" s="262"/>
      <c r="I124" s="262"/>
      <c r="J124" s="262"/>
      <c r="K124" s="262"/>
      <c r="L124" s="262"/>
      <c r="M124" s="262"/>
      <c r="N124" s="262"/>
    </row>
    <row r="125" spans="1:148" s="70" customFormat="1" ht="30" customHeight="1" x14ac:dyDescent="0.2">
      <c r="A125" s="262" t="s">
        <v>154</v>
      </c>
      <c r="B125" s="262"/>
      <c r="C125" s="262"/>
      <c r="D125" s="262"/>
      <c r="E125" s="262"/>
      <c r="F125" s="262"/>
      <c r="G125" s="262"/>
      <c r="H125" s="262"/>
      <c r="I125" s="262"/>
      <c r="J125" s="262"/>
      <c r="K125" s="262"/>
      <c r="L125" s="262"/>
      <c r="M125" s="262"/>
      <c r="N125" s="262"/>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row>
    <row r="126" spans="1:148" s="28" customFormat="1" ht="19.5" customHeight="1" x14ac:dyDescent="0.25">
      <c r="A126" s="262" t="s">
        <v>267</v>
      </c>
      <c r="B126" s="262"/>
      <c r="C126" s="262"/>
      <c r="D126" s="262"/>
      <c r="E126" s="262"/>
      <c r="F126" s="262"/>
      <c r="G126" s="262"/>
      <c r="H126" s="262"/>
      <c r="I126" s="262"/>
      <c r="J126" s="262"/>
      <c r="K126" s="262"/>
      <c r="L126" s="262"/>
      <c r="M126" s="262"/>
      <c r="N126" s="262"/>
      <c r="O126" s="70"/>
      <c r="P126" s="70"/>
      <c r="Q126" s="70"/>
      <c r="R126" s="70"/>
      <c r="S126" s="70"/>
      <c r="T126" s="70"/>
      <c r="U126" s="70"/>
      <c r="V126" s="70"/>
    </row>
    <row r="127" spans="1:148" s="28" customFormat="1" ht="41.25" customHeight="1" x14ac:dyDescent="0.25">
      <c r="A127" s="262" t="s">
        <v>155</v>
      </c>
      <c r="B127" s="262"/>
      <c r="C127" s="262"/>
      <c r="D127" s="262"/>
      <c r="E127" s="262"/>
      <c r="F127" s="262"/>
      <c r="G127" s="262"/>
      <c r="H127" s="262"/>
      <c r="I127" s="262"/>
      <c r="J127" s="262"/>
      <c r="K127" s="262"/>
      <c r="L127" s="262"/>
      <c r="M127" s="262"/>
      <c r="N127" s="262"/>
      <c r="O127" s="78"/>
      <c r="P127" s="78"/>
      <c r="Q127" s="78"/>
      <c r="R127" s="78"/>
      <c r="S127" s="78"/>
      <c r="T127" s="78"/>
      <c r="U127" s="78"/>
      <c r="V127" s="78"/>
    </row>
    <row r="128" spans="1:148" s="28" customFormat="1" ht="30" customHeight="1" x14ac:dyDescent="0.25">
      <c r="A128" s="262" t="s">
        <v>260</v>
      </c>
      <c r="B128" s="262"/>
      <c r="C128" s="262"/>
      <c r="D128" s="262"/>
      <c r="E128" s="262"/>
      <c r="F128" s="262"/>
      <c r="G128" s="262"/>
      <c r="H128" s="262"/>
      <c r="I128" s="262"/>
      <c r="J128" s="262"/>
      <c r="K128" s="78"/>
      <c r="L128" s="78"/>
      <c r="M128" s="78"/>
      <c r="N128" s="78"/>
      <c r="O128" s="78"/>
      <c r="P128" s="78"/>
      <c r="Q128" s="78"/>
      <c r="R128" s="78"/>
      <c r="S128" s="78"/>
      <c r="T128" s="78"/>
      <c r="U128" s="78"/>
      <c r="V128" s="78"/>
    </row>
    <row r="129" spans="1:22" s="28" customFormat="1" ht="39.75" customHeight="1" x14ac:dyDescent="0.25">
      <c r="A129" s="262" t="s">
        <v>156</v>
      </c>
      <c r="B129" s="262"/>
      <c r="C129" s="262"/>
      <c r="D129" s="262"/>
      <c r="E129" s="262"/>
      <c r="F129" s="262"/>
      <c r="G129" s="262"/>
      <c r="H129" s="262"/>
      <c r="I129" s="262"/>
      <c r="J129" s="262"/>
      <c r="K129" s="262"/>
      <c r="L129" s="262"/>
      <c r="M129" s="262"/>
      <c r="N129" s="262"/>
      <c r="O129" s="78"/>
      <c r="P129" s="78"/>
      <c r="Q129" s="78"/>
      <c r="R129" s="78"/>
      <c r="S129" s="78"/>
      <c r="T129" s="78"/>
      <c r="U129" s="78"/>
      <c r="V129" s="78"/>
    </row>
    <row r="130" spans="1:22" s="28" customFormat="1" ht="19.5" customHeight="1" x14ac:dyDescent="0.25">
      <c r="A130" s="262" t="s">
        <v>157</v>
      </c>
      <c r="B130" s="262"/>
      <c r="C130" s="262"/>
      <c r="D130" s="262"/>
      <c r="E130" s="262"/>
      <c r="F130" s="262"/>
      <c r="G130" s="262"/>
      <c r="H130" s="262"/>
      <c r="I130" s="262"/>
      <c r="J130" s="262"/>
      <c r="K130" s="262"/>
      <c r="L130" s="262"/>
      <c r="M130" s="262"/>
      <c r="N130" s="262"/>
      <c r="O130" s="70"/>
      <c r="P130" s="70"/>
      <c r="Q130" s="70"/>
      <c r="R130" s="70"/>
      <c r="S130" s="70"/>
      <c r="T130" s="70"/>
      <c r="U130" s="70"/>
      <c r="V130" s="70"/>
    </row>
    <row r="131" spans="1:22" s="28" customFormat="1" ht="19.5" customHeight="1" x14ac:dyDescent="0.25">
      <c r="A131" s="262" t="s">
        <v>158</v>
      </c>
      <c r="B131" s="262"/>
      <c r="C131" s="262"/>
      <c r="D131" s="262"/>
      <c r="E131" s="262"/>
      <c r="F131" s="262"/>
      <c r="G131" s="262"/>
      <c r="H131" s="262"/>
      <c r="I131" s="262"/>
      <c r="J131" s="262"/>
      <c r="K131" s="262"/>
      <c r="L131" s="262"/>
      <c r="M131" s="262"/>
      <c r="N131" s="262"/>
      <c r="O131" s="70"/>
      <c r="P131" s="70"/>
      <c r="Q131" s="70"/>
      <c r="R131" s="70"/>
      <c r="S131" s="70"/>
      <c r="T131" s="70"/>
      <c r="U131" s="70"/>
      <c r="V131" s="70"/>
    </row>
    <row r="132" spans="1:22" s="28" customFormat="1" ht="40.5" customHeight="1" x14ac:dyDescent="0.25">
      <c r="A132" s="262" t="s">
        <v>159</v>
      </c>
      <c r="B132" s="262"/>
      <c r="C132" s="262"/>
      <c r="D132" s="262"/>
      <c r="E132" s="262"/>
      <c r="F132" s="262"/>
      <c r="G132" s="262"/>
      <c r="H132" s="262"/>
      <c r="I132" s="262"/>
      <c r="J132" s="262"/>
      <c r="K132" s="262"/>
      <c r="L132" s="262"/>
      <c r="M132" s="262"/>
      <c r="N132" s="262"/>
      <c r="O132" s="78"/>
      <c r="P132" s="78"/>
      <c r="Q132" s="78"/>
      <c r="R132" s="78"/>
      <c r="S132" s="78"/>
      <c r="T132" s="78"/>
      <c r="U132" s="78"/>
      <c r="V132" s="78"/>
    </row>
    <row r="133" spans="1:22" s="28" customFormat="1" ht="19.5" customHeight="1" x14ac:dyDescent="0.25"/>
    <row r="134" spans="1:22" s="28" customFormat="1" ht="19.5" customHeight="1" x14ac:dyDescent="0.25">
      <c r="A134" s="28" t="s">
        <v>320</v>
      </c>
      <c r="K134" s="108">
        <f>K13+K15-K43+K104</f>
        <v>0</v>
      </c>
      <c r="L134" s="28">
        <f t="shared" ref="L134:S134" si="11">L13+L15-L43</f>
        <v>0</v>
      </c>
      <c r="M134" s="28">
        <f t="shared" si="11"/>
        <v>0</v>
      </c>
      <c r="N134" s="28">
        <f t="shared" si="11"/>
        <v>0</v>
      </c>
      <c r="O134" s="28">
        <f t="shared" si="11"/>
        <v>0</v>
      </c>
      <c r="P134" s="28">
        <f t="shared" si="11"/>
        <v>0</v>
      </c>
      <c r="Q134" s="28">
        <f t="shared" si="11"/>
        <v>0</v>
      </c>
      <c r="R134" s="28">
        <f t="shared" si="11"/>
        <v>0</v>
      </c>
      <c r="S134" s="28">
        <f t="shared" si="11"/>
        <v>0</v>
      </c>
    </row>
    <row r="135" spans="1:22" s="28" customFormat="1" ht="19.5" customHeight="1" x14ac:dyDescent="0.25"/>
    <row r="136" spans="1:22" s="28" customFormat="1" ht="19.5" customHeight="1" x14ac:dyDescent="0.25"/>
    <row r="137" spans="1:22" s="28" customFormat="1" ht="19.5" customHeight="1" x14ac:dyDescent="0.25"/>
    <row r="138" spans="1:22" s="28" customFormat="1" ht="19.5" customHeight="1" x14ac:dyDescent="0.25"/>
    <row r="139" spans="1:22" s="28" customFormat="1" ht="19.5" customHeight="1" x14ac:dyDescent="0.25"/>
    <row r="140" spans="1:22" s="28" customFormat="1" ht="19.5" customHeight="1" x14ac:dyDescent="0.25"/>
    <row r="141" spans="1:22" s="28" customFormat="1" ht="19.5" customHeight="1" x14ac:dyDescent="0.25"/>
    <row r="142" spans="1:22" s="28" customFormat="1" ht="19.5" customHeight="1" x14ac:dyDescent="0.25"/>
    <row r="143" spans="1:22" s="28" customFormat="1" ht="19.5" customHeight="1" x14ac:dyDescent="0.25"/>
    <row r="144" spans="1:22" s="28" customFormat="1" ht="19.5" customHeight="1" x14ac:dyDescent="0.25"/>
    <row r="145" s="28" customFormat="1" ht="19.5" customHeight="1" x14ac:dyDescent="0.25"/>
    <row r="146" s="28" customFormat="1" ht="19.5" customHeight="1" x14ac:dyDescent="0.25"/>
    <row r="147" s="28" customFormat="1" ht="19.5" customHeight="1" x14ac:dyDescent="0.25"/>
    <row r="148" s="28" customFormat="1" ht="19.5" customHeight="1" x14ac:dyDescent="0.25"/>
    <row r="149" s="28" customFormat="1" ht="19.5" customHeight="1" x14ac:dyDescent="0.25"/>
    <row r="150" s="28" customFormat="1" ht="19.5" customHeight="1" x14ac:dyDescent="0.25"/>
    <row r="151" s="28" customFormat="1" ht="19.5" customHeight="1" x14ac:dyDescent="0.25"/>
    <row r="152" s="28" customFormat="1" ht="19.5" customHeight="1" x14ac:dyDescent="0.25"/>
    <row r="153" s="28" customFormat="1" ht="19.5" customHeight="1" x14ac:dyDescent="0.25"/>
    <row r="154" s="28" customFormat="1" ht="19.5" customHeight="1" x14ac:dyDescent="0.25"/>
    <row r="155" s="28" customFormat="1" ht="19.5" customHeight="1" x14ac:dyDescent="0.25"/>
    <row r="156" s="28" customFormat="1" ht="19.5" customHeight="1" x14ac:dyDescent="0.25"/>
    <row r="157" s="28" customFormat="1" ht="19.5" customHeight="1" x14ac:dyDescent="0.25"/>
    <row r="158" s="28" customFormat="1" ht="19.5" customHeight="1" x14ac:dyDescent="0.25"/>
    <row r="159" s="28" customFormat="1" ht="19.5" customHeight="1" x14ac:dyDescent="0.25"/>
    <row r="160" s="28" customFormat="1" ht="19.5" customHeight="1" x14ac:dyDescent="0.25"/>
    <row r="161" s="28" customFormat="1" ht="19.5" customHeight="1" x14ac:dyDescent="0.25"/>
    <row r="162" s="28" customFormat="1" ht="19.5" customHeight="1" x14ac:dyDescent="0.25"/>
    <row r="163" s="28" customFormat="1" ht="19.5" customHeight="1" x14ac:dyDescent="0.25"/>
    <row r="164" s="28" customFormat="1" ht="19.5" customHeight="1" x14ac:dyDescent="0.25"/>
    <row r="165" s="28" customFormat="1" ht="19.5" customHeight="1" x14ac:dyDescent="0.25"/>
    <row r="166" s="28" customFormat="1" ht="19.5" customHeight="1" x14ac:dyDescent="0.25"/>
    <row r="167" s="28" customFormat="1" ht="19.5" customHeight="1" x14ac:dyDescent="0.25"/>
    <row r="168" s="28" customFormat="1" ht="19.5" customHeight="1" x14ac:dyDescent="0.25"/>
    <row r="169" s="28" customFormat="1" ht="19.5" customHeight="1" x14ac:dyDescent="0.25"/>
    <row r="170" s="28" customFormat="1" ht="19.5" customHeight="1" x14ac:dyDescent="0.25"/>
    <row r="171" s="28" customFormat="1" ht="19.5" customHeight="1" x14ac:dyDescent="0.25"/>
    <row r="172" s="28" customFormat="1" ht="19.5" customHeight="1" x14ac:dyDescent="0.25"/>
    <row r="173" s="28" customFormat="1" ht="19.5" customHeight="1" x14ac:dyDescent="0.25"/>
    <row r="174" s="28" customFormat="1" ht="19.5" customHeight="1" x14ac:dyDescent="0.25"/>
    <row r="175" s="28" customFormat="1" ht="19.5" customHeight="1" x14ac:dyDescent="0.25"/>
    <row r="176" s="28" customFormat="1" ht="19.5" customHeight="1" x14ac:dyDescent="0.25"/>
    <row r="177" s="28" customFormat="1" ht="19.5" customHeight="1" x14ac:dyDescent="0.25"/>
    <row r="178" s="28" customFormat="1" ht="19.5" customHeight="1" x14ac:dyDescent="0.25"/>
    <row r="179" s="28" customFormat="1" ht="19.5" customHeight="1" x14ac:dyDescent="0.25"/>
    <row r="180" s="28" customFormat="1" ht="19.5" customHeight="1" x14ac:dyDescent="0.25"/>
    <row r="181" s="28" customFormat="1" ht="19.5" customHeight="1" x14ac:dyDescent="0.25"/>
    <row r="182" s="28" customFormat="1" ht="19.5" customHeight="1" x14ac:dyDescent="0.25"/>
    <row r="183" s="28" customFormat="1" ht="19.5" customHeight="1" x14ac:dyDescent="0.25"/>
    <row r="184" s="28" customFormat="1" ht="19.5" customHeight="1" x14ac:dyDescent="0.25"/>
    <row r="185" s="28" customFormat="1" ht="19.5" customHeight="1" x14ac:dyDescent="0.25"/>
    <row r="186" s="28" customFormat="1" ht="19.5" customHeight="1" x14ac:dyDescent="0.25"/>
    <row r="187" s="28" customFormat="1" ht="19.5" customHeight="1" x14ac:dyDescent="0.25"/>
    <row r="188" s="28" customFormat="1" ht="19.5" customHeight="1" x14ac:dyDescent="0.25"/>
    <row r="189" s="28" customFormat="1" ht="19.5" customHeight="1" x14ac:dyDescent="0.25"/>
    <row r="190" s="28" customFormat="1" ht="19.5" customHeight="1" x14ac:dyDescent="0.25"/>
    <row r="191" s="28" customFormat="1" ht="19.5" customHeight="1" x14ac:dyDescent="0.25"/>
    <row r="192" s="28" customFormat="1" ht="19.5" customHeight="1" x14ac:dyDescent="0.25"/>
    <row r="193" s="28" customFormat="1" ht="19.5" customHeight="1" x14ac:dyDescent="0.25"/>
    <row r="194" s="28" customFormat="1" ht="19.5" customHeight="1" x14ac:dyDescent="0.25"/>
    <row r="195" s="28" customFormat="1" ht="19.5" customHeight="1" x14ac:dyDescent="0.25"/>
    <row r="196" s="28" customFormat="1" ht="19.5" customHeight="1" x14ac:dyDescent="0.25"/>
    <row r="197" s="28" customFormat="1" ht="19.5" customHeight="1" x14ac:dyDescent="0.25"/>
    <row r="198" s="28" customFormat="1" ht="19.5" customHeight="1" x14ac:dyDescent="0.25"/>
    <row r="199" s="28" customFormat="1" ht="19.5" customHeight="1" x14ac:dyDescent="0.25"/>
    <row r="200" s="28" customFormat="1" ht="19.5" customHeight="1" x14ac:dyDescent="0.25"/>
    <row r="201" s="28" customFormat="1" ht="19.5" customHeight="1" x14ac:dyDescent="0.25"/>
    <row r="202" s="28" customFormat="1" ht="19.5" customHeight="1" x14ac:dyDescent="0.25"/>
    <row r="203" s="28" customFormat="1" ht="19.5" customHeight="1" x14ac:dyDescent="0.25"/>
    <row r="204" s="28" customFormat="1" ht="19.5" customHeight="1" x14ac:dyDescent="0.25"/>
    <row r="205" s="28" customFormat="1" ht="19.5" customHeight="1" x14ac:dyDescent="0.25"/>
    <row r="206" s="28" customFormat="1" ht="19.5" customHeight="1" x14ac:dyDescent="0.25"/>
    <row r="207" s="28" customFormat="1" ht="19.5" customHeight="1" x14ac:dyDescent="0.25"/>
    <row r="208" s="28" customFormat="1" ht="19.5" customHeight="1" x14ac:dyDescent="0.25"/>
    <row r="209" s="28" customFormat="1" ht="19.5" customHeight="1" x14ac:dyDescent="0.25"/>
    <row r="210" s="28" customFormat="1" ht="19.5" customHeight="1" x14ac:dyDescent="0.25"/>
    <row r="211" s="28" customFormat="1" ht="19.5" customHeight="1" x14ac:dyDescent="0.25"/>
    <row r="212" s="28" customFormat="1" ht="19.5" customHeight="1" x14ac:dyDescent="0.25"/>
    <row r="213" s="28" customFormat="1" ht="19.5" customHeight="1" x14ac:dyDescent="0.25"/>
    <row r="214" s="28" customFormat="1" ht="19.5" customHeight="1" x14ac:dyDescent="0.25"/>
    <row r="215" s="28" customFormat="1" ht="19.5" customHeight="1" x14ac:dyDescent="0.25"/>
    <row r="216" s="28" customFormat="1" ht="19.5" customHeight="1" x14ac:dyDescent="0.25"/>
    <row r="217" s="28" customFormat="1" ht="19.5" customHeight="1" x14ac:dyDescent="0.25"/>
    <row r="218" s="28" customFormat="1" ht="19.5" customHeight="1" x14ac:dyDescent="0.25"/>
    <row r="219" s="28" customFormat="1" ht="19.5" customHeight="1" x14ac:dyDescent="0.25"/>
    <row r="220" s="28" customFormat="1" ht="19.5" customHeight="1" x14ac:dyDescent="0.25"/>
    <row r="221" s="28" customFormat="1" ht="19.5" customHeight="1" x14ac:dyDescent="0.25"/>
    <row r="222" s="28" customFormat="1" ht="19.5" customHeight="1" x14ac:dyDescent="0.25"/>
    <row r="223" s="28" customFormat="1" ht="19.5" customHeight="1" x14ac:dyDescent="0.25"/>
    <row r="224" s="28" customFormat="1" ht="19.5" customHeight="1" x14ac:dyDescent="0.25"/>
    <row r="225" s="28" customFormat="1" ht="19.5" customHeight="1" x14ac:dyDescent="0.25"/>
    <row r="226" s="28" customFormat="1" ht="19.5" customHeight="1" x14ac:dyDescent="0.25"/>
    <row r="227" s="28" customFormat="1" ht="19.5" customHeight="1" x14ac:dyDescent="0.25"/>
    <row r="228" s="28" customFormat="1" ht="19.5" customHeight="1" x14ac:dyDescent="0.25"/>
    <row r="229" s="28" customFormat="1" ht="19.5" customHeight="1" x14ac:dyDescent="0.25"/>
    <row r="230" s="28" customFormat="1" ht="19.5" customHeight="1" x14ac:dyDescent="0.25"/>
    <row r="231" s="28" customFormat="1" ht="19.5" customHeight="1" x14ac:dyDescent="0.25"/>
    <row r="232" s="28" customFormat="1" ht="19.5" customHeight="1" x14ac:dyDescent="0.25"/>
    <row r="233" s="28" customFormat="1" ht="19.5" customHeight="1" x14ac:dyDescent="0.25"/>
    <row r="234" s="28" customFormat="1" ht="19.5" customHeight="1" x14ac:dyDescent="0.25"/>
    <row r="235" s="28" customFormat="1" ht="19.5" customHeight="1" x14ac:dyDescent="0.25"/>
    <row r="236" s="28" customFormat="1" ht="19.5" customHeight="1" x14ac:dyDescent="0.25"/>
    <row r="237" s="28" customFormat="1" ht="19.5" customHeight="1" x14ac:dyDescent="0.25"/>
    <row r="238" s="28" customFormat="1" ht="19.5" customHeight="1" x14ac:dyDescent="0.25"/>
    <row r="239" s="28" customFormat="1" ht="19.5" customHeight="1" x14ac:dyDescent="0.25"/>
    <row r="240" s="28" customFormat="1" ht="19.5" customHeight="1" x14ac:dyDescent="0.25"/>
    <row r="241" s="28" customFormat="1" ht="19.5" customHeight="1" x14ac:dyDescent="0.25"/>
    <row r="242" s="28" customFormat="1" ht="19.5" customHeight="1" x14ac:dyDescent="0.25"/>
    <row r="243" s="28" customFormat="1" ht="19.5" customHeight="1" x14ac:dyDescent="0.25"/>
    <row r="244" s="28" customFormat="1" ht="19.5" customHeight="1" x14ac:dyDescent="0.25"/>
    <row r="245" s="28" customFormat="1" ht="19.5" customHeight="1" x14ac:dyDescent="0.25"/>
    <row r="246" s="28" customFormat="1" ht="19.5" customHeight="1" x14ac:dyDescent="0.25"/>
    <row r="247" s="28" customFormat="1" ht="19.5" customHeight="1" x14ac:dyDescent="0.25"/>
    <row r="248" s="28" customFormat="1" ht="19.5" customHeight="1" x14ac:dyDescent="0.25"/>
    <row r="249" s="28" customFormat="1" ht="19.5" customHeight="1" x14ac:dyDescent="0.25"/>
    <row r="250" s="28" customFormat="1" ht="19.5" customHeight="1" x14ac:dyDescent="0.25"/>
    <row r="251" s="28" customFormat="1" ht="19.5" customHeight="1" x14ac:dyDescent="0.25"/>
    <row r="252" s="28" customFormat="1" ht="19.5" customHeight="1" x14ac:dyDescent="0.25"/>
    <row r="253" s="28" customFormat="1" ht="19.5" customHeight="1" x14ac:dyDescent="0.25"/>
    <row r="254" s="28" customFormat="1" ht="19.5" customHeight="1" x14ac:dyDescent="0.25"/>
    <row r="255" s="28" customFormat="1" ht="19.5" customHeight="1" x14ac:dyDescent="0.25"/>
    <row r="256" s="28" customFormat="1" ht="19.5" customHeight="1" x14ac:dyDescent="0.25"/>
    <row r="257" s="28" customFormat="1" ht="19.5" customHeight="1" x14ac:dyDescent="0.25"/>
    <row r="258" s="28" customFormat="1" ht="19.5" customHeight="1" x14ac:dyDescent="0.25"/>
    <row r="259" s="28" customFormat="1" ht="19.5" customHeight="1" x14ac:dyDescent="0.25"/>
    <row r="260" s="28" customFormat="1" ht="19.5" customHeight="1" x14ac:dyDescent="0.25"/>
    <row r="261" s="28" customFormat="1" ht="19.5" customHeight="1" x14ac:dyDescent="0.25"/>
    <row r="262" s="28" customFormat="1" ht="19.5" customHeight="1" x14ac:dyDescent="0.25"/>
    <row r="263" s="28" customFormat="1" ht="19.5" customHeight="1" x14ac:dyDescent="0.25"/>
    <row r="264" s="28" customFormat="1" ht="19.5" customHeight="1" x14ac:dyDescent="0.25"/>
    <row r="265" s="28" customFormat="1" ht="19.5" customHeight="1" x14ac:dyDescent="0.25"/>
    <row r="266" s="28" customFormat="1" ht="19.5" customHeight="1" x14ac:dyDescent="0.25"/>
    <row r="267" s="28" customFormat="1" ht="19.5" customHeight="1" x14ac:dyDescent="0.25"/>
    <row r="268" s="28" customFormat="1" ht="19.5" customHeight="1" x14ac:dyDescent="0.25"/>
    <row r="269" s="28" customFormat="1" ht="19.5" customHeight="1" x14ac:dyDescent="0.25"/>
    <row r="270" s="28" customFormat="1" ht="19.5" customHeight="1" x14ac:dyDescent="0.25"/>
    <row r="271" s="28" customFormat="1" ht="19.5" customHeight="1" x14ac:dyDescent="0.25"/>
    <row r="272" s="28" customFormat="1" ht="19.5" customHeight="1" x14ac:dyDescent="0.25"/>
    <row r="273" s="28" customFormat="1" ht="19.5" customHeight="1" x14ac:dyDescent="0.25"/>
    <row r="274" s="28" customFormat="1" ht="19.5" customHeight="1" x14ac:dyDescent="0.25"/>
    <row r="275" s="28" customFormat="1" ht="19.5" customHeight="1" x14ac:dyDescent="0.25"/>
    <row r="276" s="28" customFormat="1" ht="19.5" customHeight="1" x14ac:dyDescent="0.25"/>
    <row r="277" s="28" customFormat="1" ht="19.5" customHeight="1" x14ac:dyDescent="0.25"/>
    <row r="278" s="28" customFormat="1" ht="19.5" customHeight="1" x14ac:dyDescent="0.25"/>
    <row r="279" s="28" customFormat="1" ht="19.5" customHeight="1" x14ac:dyDescent="0.25"/>
    <row r="280" s="28" customFormat="1" ht="19.5" customHeight="1" x14ac:dyDescent="0.25"/>
    <row r="281" s="28" customFormat="1" ht="19.5" customHeight="1" x14ac:dyDescent="0.25"/>
    <row r="282" s="28" customFormat="1" ht="19.5" customHeight="1" x14ac:dyDescent="0.25"/>
    <row r="283" s="28" customFormat="1" ht="19.5" customHeight="1" x14ac:dyDescent="0.25"/>
    <row r="284" s="28" customFormat="1" ht="19.5" customHeight="1" x14ac:dyDescent="0.25"/>
    <row r="285" s="28" customFormat="1" ht="19.5" customHeight="1" x14ac:dyDescent="0.25"/>
    <row r="286" s="28" customFormat="1" ht="19.5" customHeight="1" x14ac:dyDescent="0.25"/>
    <row r="287" s="28" customFormat="1" ht="19.5" customHeight="1" x14ac:dyDescent="0.25"/>
    <row r="288" s="28" customFormat="1" ht="19.5" customHeight="1" x14ac:dyDescent="0.25"/>
    <row r="289" s="28" customFormat="1" ht="19.5" customHeight="1" x14ac:dyDescent="0.25"/>
    <row r="290" s="28" customFormat="1" ht="19.5" customHeight="1" x14ac:dyDescent="0.25"/>
    <row r="291" s="28" customFormat="1" ht="19.5" customHeight="1" x14ac:dyDescent="0.25"/>
    <row r="292" s="28" customFormat="1" ht="19.5" customHeight="1" x14ac:dyDescent="0.25"/>
  </sheetData>
  <mergeCells count="146">
    <mergeCell ref="A57:D57"/>
    <mergeCell ref="A58:D58"/>
    <mergeCell ref="A59:D59"/>
    <mergeCell ref="A60:D60"/>
    <mergeCell ref="A61:D61"/>
    <mergeCell ref="A66:D66"/>
    <mergeCell ref="A67:D67"/>
    <mergeCell ref="A88:D88"/>
    <mergeCell ref="A89:D89"/>
    <mergeCell ref="A80:D80"/>
    <mergeCell ref="A82:D82"/>
    <mergeCell ref="A84:D84"/>
    <mergeCell ref="A85:D85"/>
    <mergeCell ref="A72:D72"/>
    <mergeCell ref="A73:D73"/>
    <mergeCell ref="A74:D74"/>
    <mergeCell ref="A62:D62"/>
    <mergeCell ref="A63:D63"/>
    <mergeCell ref="A64:D64"/>
    <mergeCell ref="A65:D65"/>
    <mergeCell ref="A68:D68"/>
    <mergeCell ref="A69:D69"/>
    <mergeCell ref="A70:D70"/>
    <mergeCell ref="A71:D71"/>
    <mergeCell ref="A101:D101"/>
    <mergeCell ref="A99:D99"/>
    <mergeCell ref="A131:N131"/>
    <mergeCell ref="C112:D112"/>
    <mergeCell ref="F112:G112"/>
    <mergeCell ref="H112:I112"/>
    <mergeCell ref="K112:L112"/>
    <mergeCell ref="C114:D114"/>
    <mergeCell ref="F114:G114"/>
    <mergeCell ref="A102:D102"/>
    <mergeCell ref="A109:D109"/>
    <mergeCell ref="H114:I114"/>
    <mergeCell ref="K114:L114"/>
    <mergeCell ref="A103:D103"/>
    <mergeCell ref="A104:D104"/>
    <mergeCell ref="A105:D105"/>
    <mergeCell ref="A106:D106"/>
    <mergeCell ref="A107:D107"/>
    <mergeCell ref="A108:D108"/>
    <mergeCell ref="A132:N132"/>
    <mergeCell ref="B115:C115"/>
    <mergeCell ref="B118:C118"/>
    <mergeCell ref="A126:N126"/>
    <mergeCell ref="A127:N127"/>
    <mergeCell ref="A129:N129"/>
    <mergeCell ref="A130:N130"/>
    <mergeCell ref="A123:N123"/>
    <mergeCell ref="A124:N124"/>
    <mergeCell ref="A125:N125"/>
    <mergeCell ref="A119:N119"/>
    <mergeCell ref="A120:N120"/>
    <mergeCell ref="A121:N121"/>
    <mergeCell ref="A122:N122"/>
    <mergeCell ref="C117:D117"/>
    <mergeCell ref="F117:G117"/>
    <mergeCell ref="H117:I117"/>
    <mergeCell ref="K117:L117"/>
    <mergeCell ref="A128:J128"/>
    <mergeCell ref="A75:D75"/>
    <mergeCell ref="A76:D76"/>
    <mergeCell ref="A78:D78"/>
    <mergeCell ref="A79:D79"/>
    <mergeCell ref="A81:D81"/>
    <mergeCell ref="A83:D83"/>
    <mergeCell ref="A97:D97"/>
    <mergeCell ref="A93:D93"/>
    <mergeCell ref="A100:D100"/>
    <mergeCell ref="A91:D91"/>
    <mergeCell ref="A92:D92"/>
    <mergeCell ref="A94:D94"/>
    <mergeCell ref="A95:D95"/>
    <mergeCell ref="A96:D96"/>
    <mergeCell ref="A98:D98"/>
    <mergeCell ref="A86:D86"/>
    <mergeCell ref="A87:D87"/>
    <mergeCell ref="A90:D90"/>
    <mergeCell ref="A77:D77"/>
    <mergeCell ref="A49:D49"/>
    <mergeCell ref="A51:D51"/>
    <mergeCell ref="A52:D52"/>
    <mergeCell ref="A53:D53"/>
    <mergeCell ref="A54:D54"/>
    <mergeCell ref="A56:D56"/>
    <mergeCell ref="A50:D50"/>
    <mergeCell ref="A40:D40"/>
    <mergeCell ref="A41:D41"/>
    <mergeCell ref="A42:D42"/>
    <mergeCell ref="A43:D43"/>
    <mergeCell ref="A44:D44"/>
    <mergeCell ref="A45:D45"/>
    <mergeCell ref="A46:D46"/>
    <mergeCell ref="A47:D47"/>
    <mergeCell ref="A48:D48"/>
    <mergeCell ref="A55:D55"/>
    <mergeCell ref="A34:D34"/>
    <mergeCell ref="A35:D35"/>
    <mergeCell ref="A36:D36"/>
    <mergeCell ref="A37:D37"/>
    <mergeCell ref="A38:D38"/>
    <mergeCell ref="A39:D39"/>
    <mergeCell ref="A26:D26"/>
    <mergeCell ref="A27:D27"/>
    <mergeCell ref="A30:D30"/>
    <mergeCell ref="A31:D31"/>
    <mergeCell ref="A32:D32"/>
    <mergeCell ref="A33:D33"/>
    <mergeCell ref="A28:D28"/>
    <mergeCell ref="A29:D29"/>
    <mergeCell ref="A20:D20"/>
    <mergeCell ref="A21:D21"/>
    <mergeCell ref="A22:D22"/>
    <mergeCell ref="A23:D23"/>
    <mergeCell ref="A24:D24"/>
    <mergeCell ref="A25:D25"/>
    <mergeCell ref="A14:D14"/>
    <mergeCell ref="A15:D15"/>
    <mergeCell ref="A16:D16"/>
    <mergeCell ref="A17:D17"/>
    <mergeCell ref="A18:D18"/>
    <mergeCell ref="A19:D19"/>
    <mergeCell ref="A12:D12"/>
    <mergeCell ref="A13:D13"/>
    <mergeCell ref="N7:P7"/>
    <mergeCell ref="Q7:S7"/>
    <mergeCell ref="T7:V7"/>
    <mergeCell ref="K8:M8"/>
    <mergeCell ref="N8:P8"/>
    <mergeCell ref="Q8:S8"/>
    <mergeCell ref="T8:V8"/>
    <mergeCell ref="A3:P3"/>
    <mergeCell ref="A5:I5"/>
    <mergeCell ref="A6:D11"/>
    <mergeCell ref="E6:E11"/>
    <mergeCell ref="F6:F11"/>
    <mergeCell ref="G6:G11"/>
    <mergeCell ref="H6:V6"/>
    <mergeCell ref="H7:J9"/>
    <mergeCell ref="K7:M7"/>
    <mergeCell ref="K9:M9"/>
    <mergeCell ref="N9:P9"/>
    <mergeCell ref="Q9:S9"/>
    <mergeCell ref="T9:V9"/>
  </mergeCells>
  <printOptions horizontalCentered="1"/>
  <pageMargins left="0.47244094488188981" right="0.27559055118110237" top="0.39370078740157483" bottom="0.23622047244094491" header="0.43307086614173229" footer="0.51181102362204722"/>
  <pageSetup paperSize="9" scale="64"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S47"/>
  <sheetViews>
    <sheetView workbookViewId="0">
      <pane xSplit="3" ySplit="10" topLeftCell="G37" activePane="bottomRight" state="frozen"/>
      <selection pane="topRight" activeCell="D1" sqref="D1"/>
      <selection pane="bottomLeft" activeCell="A11" sqref="A11"/>
      <selection pane="bottomRight" activeCell="A3" sqref="A3:O48"/>
    </sheetView>
  </sheetViews>
  <sheetFormatPr defaultRowHeight="15.75" x14ac:dyDescent="0.25"/>
  <cols>
    <col min="1" max="1" width="8.42578125" style="40" customWidth="1"/>
    <col min="2" max="2" width="60.28515625" style="40" customWidth="1"/>
    <col min="3" max="3" width="13.85546875" style="1" customWidth="1"/>
    <col min="4" max="4" width="13.5703125" style="1" customWidth="1"/>
    <col min="5" max="6" width="11.7109375" style="1" customWidth="1"/>
    <col min="7" max="7" width="26.85546875" style="1" customWidth="1"/>
    <col min="8" max="8" width="14" style="1" customWidth="1"/>
    <col min="9" max="9" width="16.85546875" style="1" customWidth="1"/>
    <col min="10" max="10" width="14" style="1" customWidth="1"/>
    <col min="11" max="11" width="12.42578125" style="1" customWidth="1"/>
    <col min="12" max="12" width="19.42578125" style="1" customWidth="1"/>
    <col min="13" max="13" width="12.85546875" style="1" customWidth="1"/>
    <col min="14" max="14" width="11.7109375" style="1" customWidth="1"/>
    <col min="15" max="15" width="20" style="1" customWidth="1"/>
    <col min="16" max="16" width="9.140625" style="1"/>
    <col min="17" max="18" width="11.28515625" style="1" customWidth="1"/>
    <col min="19" max="16384" width="9.140625" style="1"/>
  </cols>
  <sheetData>
    <row r="1" spans="1:19" x14ac:dyDescent="0.25">
      <c r="O1" s="41" t="s">
        <v>257</v>
      </c>
    </row>
    <row r="2" spans="1:19" ht="1.5" customHeight="1" x14ac:dyDescent="0.25"/>
    <row r="3" spans="1:19" x14ac:dyDescent="0.25">
      <c r="A3" s="584" t="s">
        <v>327</v>
      </c>
      <c r="B3" s="584"/>
      <c r="C3" s="584"/>
      <c r="D3" s="584"/>
      <c r="E3" s="584"/>
    </row>
    <row r="4" spans="1:19" x14ac:dyDescent="0.25">
      <c r="A4" s="42"/>
      <c r="D4" s="1" t="s">
        <v>45</v>
      </c>
    </row>
    <row r="5" spans="1:19" ht="9.75" customHeight="1" x14ac:dyDescent="0.25">
      <c r="A5" s="43"/>
      <c r="B5" s="43"/>
      <c r="C5" s="44"/>
      <c r="D5" s="44"/>
      <c r="E5" s="44"/>
      <c r="F5" s="44"/>
      <c r="G5" s="44"/>
      <c r="H5" s="44"/>
      <c r="I5" s="44"/>
      <c r="J5" s="44"/>
      <c r="K5" s="44"/>
      <c r="L5" s="44"/>
    </row>
    <row r="6" spans="1:19" ht="18.75" customHeight="1" x14ac:dyDescent="0.25">
      <c r="A6" s="585" t="s">
        <v>69</v>
      </c>
      <c r="B6" s="585"/>
      <c r="C6" s="585"/>
      <c r="D6" s="585"/>
      <c r="E6" s="585"/>
      <c r="F6" s="585"/>
      <c r="G6" s="585"/>
      <c r="H6" s="585"/>
      <c r="I6" s="585"/>
      <c r="J6" s="585"/>
      <c r="K6" s="585"/>
      <c r="L6" s="45"/>
      <c r="M6" s="46"/>
      <c r="N6" s="46"/>
      <c r="O6" s="46"/>
      <c r="P6" s="46"/>
      <c r="Q6" s="46"/>
      <c r="R6" s="46"/>
      <c r="S6" s="46"/>
    </row>
    <row r="7" spans="1:19" s="47" customFormat="1" ht="35.25" customHeight="1" x14ac:dyDescent="0.2">
      <c r="A7" s="586"/>
      <c r="B7" s="579" t="s">
        <v>46</v>
      </c>
      <c r="C7" s="579" t="s">
        <v>47</v>
      </c>
      <c r="D7" s="581" t="s">
        <v>48</v>
      </c>
      <c r="E7" s="582"/>
      <c r="F7" s="582"/>
      <c r="G7" s="582"/>
      <c r="H7" s="582"/>
      <c r="I7" s="583"/>
      <c r="J7" s="576" t="s">
        <v>49</v>
      </c>
      <c r="K7" s="577"/>
      <c r="L7" s="578"/>
      <c r="M7" s="576" t="s">
        <v>50</v>
      </c>
      <c r="N7" s="577"/>
      <c r="O7" s="578"/>
    </row>
    <row r="8" spans="1:19" s="47" customFormat="1" ht="21" customHeight="1" x14ac:dyDescent="0.2">
      <c r="A8" s="586"/>
      <c r="B8" s="587"/>
      <c r="C8" s="587"/>
      <c r="D8" s="579" t="s">
        <v>51</v>
      </c>
      <c r="E8" s="581" t="s">
        <v>24</v>
      </c>
      <c r="F8" s="582"/>
      <c r="G8" s="582"/>
      <c r="H8" s="582"/>
      <c r="I8" s="583"/>
      <c r="J8" s="579" t="s">
        <v>51</v>
      </c>
      <c r="K8" s="581" t="s">
        <v>24</v>
      </c>
      <c r="L8" s="583"/>
      <c r="M8" s="579" t="s">
        <v>51</v>
      </c>
      <c r="N8" s="581" t="s">
        <v>24</v>
      </c>
      <c r="O8" s="583"/>
    </row>
    <row r="9" spans="1:19" s="47" customFormat="1" ht="65.25" customHeight="1" x14ac:dyDescent="0.2">
      <c r="A9" s="586"/>
      <c r="B9" s="580"/>
      <c r="C9" s="580"/>
      <c r="D9" s="580"/>
      <c r="E9" s="48" t="s">
        <v>52</v>
      </c>
      <c r="F9" s="48" t="s">
        <v>53</v>
      </c>
      <c r="G9" s="48" t="s">
        <v>54</v>
      </c>
      <c r="H9" s="48" t="s">
        <v>55</v>
      </c>
      <c r="I9" s="48" t="s">
        <v>56</v>
      </c>
      <c r="J9" s="580"/>
      <c r="K9" s="48" t="s">
        <v>52</v>
      </c>
      <c r="L9" s="48" t="s">
        <v>57</v>
      </c>
      <c r="M9" s="580"/>
      <c r="N9" s="48" t="s">
        <v>52</v>
      </c>
      <c r="O9" s="48" t="s">
        <v>57</v>
      </c>
    </row>
    <row r="10" spans="1:19" s="50" customFormat="1" ht="16.5" customHeight="1" x14ac:dyDescent="0.25">
      <c r="A10" s="19"/>
      <c r="B10" s="19" t="s">
        <v>58</v>
      </c>
      <c r="C10" s="49">
        <v>1</v>
      </c>
      <c r="D10" s="49">
        <v>2</v>
      </c>
      <c r="E10" s="49">
        <v>3</v>
      </c>
      <c r="F10" s="49">
        <v>4</v>
      </c>
      <c r="G10" s="49">
        <v>5</v>
      </c>
      <c r="H10" s="49">
        <v>6</v>
      </c>
      <c r="I10" s="49">
        <v>7</v>
      </c>
      <c r="J10" s="49">
        <v>8</v>
      </c>
      <c r="K10" s="49">
        <v>9</v>
      </c>
      <c r="L10" s="49">
        <v>10</v>
      </c>
      <c r="M10" s="49">
        <v>11</v>
      </c>
      <c r="N10" s="49">
        <v>12</v>
      </c>
      <c r="O10" s="49">
        <v>13</v>
      </c>
    </row>
    <row r="11" spans="1:19" ht="32.25" customHeight="1" x14ac:dyDescent="0.25">
      <c r="A11" s="13" t="s">
        <v>17</v>
      </c>
      <c r="B11" s="51" t="s">
        <v>85</v>
      </c>
      <c r="C11" s="130">
        <f>'т.5 опл. тр СТАЦИОНАР'!C12+'т.5 опл.Дневной стац. (2)'!C12+'т.5 опл. тр АМБУЛАТОРИЯ'!C12+'т.5 опл.Скорая'!C12</f>
        <v>276</v>
      </c>
      <c r="D11" s="12" t="s">
        <v>61</v>
      </c>
      <c r="E11" s="12" t="s">
        <v>61</v>
      </c>
      <c r="F11" s="12" t="s">
        <v>61</v>
      </c>
      <c r="G11" s="12" t="s">
        <v>61</v>
      </c>
      <c r="H11" s="12" t="s">
        <v>61</v>
      </c>
      <c r="I11" s="12" t="s">
        <v>61</v>
      </c>
      <c r="J11" s="12" t="s">
        <v>61</v>
      </c>
      <c r="K11" s="12" t="s">
        <v>61</v>
      </c>
      <c r="L11" s="12" t="s">
        <v>61</v>
      </c>
      <c r="M11" s="12" t="s">
        <v>61</v>
      </c>
      <c r="N11" s="12" t="s">
        <v>61</v>
      </c>
      <c r="O11" s="12" t="s">
        <v>61</v>
      </c>
    </row>
    <row r="12" spans="1:19" ht="49.5" customHeight="1" x14ac:dyDescent="0.25">
      <c r="A12" s="13" t="s">
        <v>18</v>
      </c>
      <c r="B12" s="51" t="s">
        <v>86</v>
      </c>
      <c r="C12" s="130">
        <f>'т.5 опл. тр СТАЦИОНАР'!C13+'т.5 опл.Дневной стац. (2)'!C13+'т.5 опл. тр АМБУЛАТОРИЯ'!C13+'т.5 опл.Скорая'!C13</f>
        <v>149.9</v>
      </c>
      <c r="D12" s="130">
        <f>'т.5 опл. тр СТАЦИОНАР'!D13+'т.5 опл.Дневной стац. (2)'!D13+'т.5 опл. тр АМБУЛАТОРИЯ'!D13+'т.5 опл.Скорая'!D13-23.2</f>
        <v>3034.6</v>
      </c>
      <c r="E12" s="159">
        <f>'т.5 опл. тр СТАЦИОНАР'!E13+'т.5 опл.Дневной стац. (2)'!E13+'т.5 опл. тр АМБУЛАТОРИЯ'!E13+'т.5 опл.Скорая'!E13</f>
        <v>965</v>
      </c>
      <c r="F12" s="159">
        <f>'т.5 опл. тр СТАЦИОНАР'!F13+'т.5 опл.Дневной стац. (2)'!F13+'т.5 опл. тр АМБУЛАТОРИЯ'!F13+'т.5 опл.Скорая'!F13</f>
        <v>804.2</v>
      </c>
      <c r="G12" s="159">
        <f>'т.5 опл. тр СТАЦИОНАР'!G13+'т.5 опл.Дневной стац. (2)'!G13+'т.5 опл. тр АМБУЛАТОРИЯ'!G13+'т.5 опл.Скорая'!G13</f>
        <v>125.1</v>
      </c>
      <c r="H12" s="159">
        <f>'т.5 опл. тр СТАЦИОНАР'!H13+'т.5 опл.Дневной стац. (2)'!H13+'т.5 опл. тр АМБУЛАТОРИЯ'!H13+'т.5 опл.Скорая'!H13</f>
        <v>0</v>
      </c>
      <c r="I12" s="159">
        <f>'т.5 опл. тр СТАЦИОНАР'!I13+'т.5 опл.Дневной стац. (2)'!I13+'т.5 опл. тр АМБУЛАТОРИЯ'!I13+'т.5 опл.Скорая'!I13</f>
        <v>1163.5</v>
      </c>
      <c r="J12" s="130">
        <f>'т.5 опл. тр СТАЦИОНАР'!J13+'т.5 опл.Дневной стац. (2)'!J13+'т.5 опл. тр АМБУЛАТОРИЯ'!J13+'т.5 опл.Скорая'!J13</f>
        <v>4074.6</v>
      </c>
      <c r="K12" s="159">
        <f>'т.5 опл. тр СТАЦИОНАР'!K13+'т.5 опл.Дневной стац. (2)'!K13+'т.5 опл. тр АМБУЛАТОРИЯ'!K13+'т.5 опл.Скорая'!K13</f>
        <v>1237.2</v>
      </c>
      <c r="L12" s="159">
        <f>'т.5 опл. тр СТАЦИОНАР'!L13+'т.5 опл.Дневной стац. (2)'!L13+'т.5 опл. тр АМБУЛАТОРИЯ'!L13+'т.5 опл.Скорая'!L13</f>
        <v>2837.4</v>
      </c>
      <c r="M12" s="130">
        <f>'т.5 опл. тр СТАЦИОНАР'!M13+'т.5 опл.Дневной стац. (2)'!M13+'т.5 опл. тр АМБУЛАТОРИЯ'!M13+'т.5 опл.Скорая'!M13</f>
        <v>61130.9</v>
      </c>
      <c r="N12" s="159">
        <f>'т.5 опл. тр СТАЦИОНАР'!N13+'т.5 опл.Дневной стац. (2)'!N13+'т.5 опл. тр АМБУЛАТОРИЯ'!N13+'т.5 опл.Скорая'!N13</f>
        <v>22286</v>
      </c>
      <c r="O12" s="159">
        <f>'т.5 опл. тр СТАЦИОНАР'!O13+'т.5 опл.Дневной стац. (2)'!O13+'т.5 опл. тр АМБУЛАТОРИЯ'!O13+'т.5 опл.Скорая'!O13</f>
        <v>38844.9</v>
      </c>
      <c r="Q12" s="183">
        <f>D12+J12+M12</f>
        <v>68240.100000000006</v>
      </c>
      <c r="R12" s="166">
        <f>Q12/C12/12*1000</f>
        <v>37936.46</v>
      </c>
    </row>
    <row r="13" spans="1:19" ht="33.75" customHeight="1" x14ac:dyDescent="0.25">
      <c r="A13" s="13" t="s">
        <v>16</v>
      </c>
      <c r="B13" s="52" t="s">
        <v>89</v>
      </c>
      <c r="C13" s="130">
        <f>'т.5 опл. тр СТАЦИОНАР'!C14+'т.5 опл.Дневной стац. (2)'!C14+'т.5 опл. тр АМБУЛАТОРИЯ'!C14+'т.5 опл.Скорая'!C14</f>
        <v>138.9</v>
      </c>
      <c r="D13" s="130">
        <f>'т.5 опл. тр СТАЦИОНАР'!D14+'т.5 опл.Дневной стац. (2)'!D14+'т.5 опл. тр АМБУЛАТОРИЯ'!D14+'т.5 опл.Скорая'!D14</f>
        <v>2927.8</v>
      </c>
      <c r="E13" s="159">
        <f>'т.5 опл. тр СТАЦИОНАР'!E14+'т.5 опл.Дневной стац. (2)'!E14+'т.5 опл. тр АМБУЛАТОРИЯ'!E14+'т.5 опл.Скорая'!E14</f>
        <v>878.3</v>
      </c>
      <c r="F13" s="159">
        <f>'т.5 опл. тр СТАЦИОНАР'!F14+'т.5 опл.Дневной стац. (2)'!F14+'т.5 опл. тр АМБУЛАТОРИЯ'!F14+'т.5 опл.Скорая'!F14</f>
        <v>760.9</v>
      </c>
      <c r="G13" s="159">
        <f>'т.5 опл. тр СТАЦИОНАР'!G14+'т.5 опл.Дневной стац. (2)'!G14+'т.5 опл. тр АМБУЛАТОРИЯ'!G14+'т.5 опл.Скорая'!G14</f>
        <v>125.1</v>
      </c>
      <c r="H13" s="159">
        <f>'т.5 опл. тр СТАЦИОНАР'!H14+'т.5 опл.Дневной стац. (2)'!H14+'т.5 опл. тр АМБУЛАТОРИЯ'!H14+'т.5 опл.Скорая'!H14</f>
        <v>0</v>
      </c>
      <c r="I13" s="159">
        <f>'т.5 опл. тр СТАЦИОНАР'!I14+'т.5 опл.Дневной стац. (2)'!I14+'т.5 опл. тр АМБУЛАТОРИЯ'!I14+'т.5 опл.Скорая'!I14</f>
        <v>1163.5</v>
      </c>
      <c r="J13" s="130">
        <f>'т.5 опл. тр СТАЦИОНАР'!J14+'т.5 опл.Дневной стац. (2)'!J14+'т.5 опл. тр АМБУЛАТОРИЯ'!J14+'т.5 опл.Скорая'!J14</f>
        <v>3774.6</v>
      </c>
      <c r="K13" s="159">
        <f>'т.5 опл. тр СТАЦИОНАР'!K14+'т.5 опл.Дневной стац. (2)'!K14+'т.5 опл. тр АМБУЛАТОРИЯ'!K14+'т.5 опл.Скорая'!K14</f>
        <v>1237.2</v>
      </c>
      <c r="L13" s="159">
        <f>'т.5 опл. тр СТАЦИОНАР'!L14+'т.5 опл.Дневной стац. (2)'!L14+'т.5 опл. тр АМБУЛАТОРИЯ'!L14+'т.5 опл.Скорая'!L14</f>
        <v>2537.4</v>
      </c>
      <c r="M13" s="130">
        <f>'т.5 опл. тр СТАЦИОНАР'!M14+'т.5 опл.Дневной стац. (2)'!M14+'т.5 опл. тр АМБУЛАТОРИЯ'!M14+'т.5 опл.Скорая'!M14</f>
        <v>57815.199999999997</v>
      </c>
      <c r="N13" s="159">
        <f>'т.5 опл. тр СТАЦИОНАР'!N14+'т.5 опл.Дневной стац. (2)'!N14+'т.5 опл. тр АМБУЛАТОРИЯ'!N14+'т.5 опл.Скорая'!N14</f>
        <v>21151.9</v>
      </c>
      <c r="O13" s="159">
        <f>'т.5 опл. тр СТАЦИОНАР'!O14+'т.5 опл.Дневной стац. (2)'!O14+'т.5 опл. тр АМБУЛАТОРИЯ'!O14+'т.5 опл.Скорая'!O14</f>
        <v>36663.300000000003</v>
      </c>
      <c r="Q13" s="183">
        <f>D13+J13+M13</f>
        <v>64517.599999999999</v>
      </c>
      <c r="R13" s="166">
        <f>Q13/C13/12*1000</f>
        <v>38707.46</v>
      </c>
    </row>
    <row r="14" spans="1:19" ht="35.25" customHeight="1" x14ac:dyDescent="0.25">
      <c r="A14" s="13" t="s">
        <v>70</v>
      </c>
      <c r="B14" s="52" t="s">
        <v>87</v>
      </c>
      <c r="C14" s="130">
        <f>'т.5 опл. тр СТАЦИОНАР'!C15+'т.5 опл.Дневной стац. (2)'!C15+'т.5 опл. тр АМБУЛАТОРИЯ'!C15+'т.5 опл.Скорая'!C15</f>
        <v>100.9</v>
      </c>
      <c r="D14" s="130">
        <f>'т.5 опл. тр СТАЦИОНАР'!D15+'т.5 опл.Дневной стац. (2)'!D15+'т.5 опл. тр АМБУЛАТОРИЯ'!D15+'т.5 опл.Скорая'!D15</f>
        <v>2923</v>
      </c>
      <c r="E14" s="159">
        <f>'т.5 опл. тр СТАЦИОНАР'!E15+'т.5 опл.Дневной стац. (2)'!E15+'т.5 опл. тр АМБУЛАТОРИЯ'!E15+'т.5 опл.Скорая'!E15</f>
        <v>850.6</v>
      </c>
      <c r="F14" s="159">
        <f>'т.5 опл. тр СТАЦИОНАР'!F15+'т.5 опл.Дневной стац. (2)'!F15+'т.5 опл. тр АМБУЛАТОРИЯ'!F15+'т.5 опл.Скорая'!F15</f>
        <v>783.8</v>
      </c>
      <c r="G14" s="159">
        <f>'т.5 опл. тр СТАЦИОНАР'!G15+'т.5 опл.Дневной стац. (2)'!G15+'т.5 опл. тр АМБУЛАТОРИЯ'!G15+'т.5 опл.Скорая'!G15</f>
        <v>125.1</v>
      </c>
      <c r="H14" s="159">
        <f>'т.5 опл. тр СТАЦИОНАР'!H15+'т.5 опл.Дневной стац. (2)'!H15+'т.5 опл. тр АМБУЛАТОРИЯ'!H15+'т.5 опл.Скорая'!H15</f>
        <v>0</v>
      </c>
      <c r="I14" s="159">
        <f>'т.5 опл. тр СТАЦИОНАР'!I15+'т.5 опл.Дневной стац. (2)'!I15+'т.5 опл. тр АМБУЛАТОРИЯ'!I15+'т.5 опл.Скорая'!I15</f>
        <v>1163.5</v>
      </c>
      <c r="J14" s="130">
        <f>'т.5 опл. тр СТАЦИОНАР'!J15+'т.5 опл.Дневной стац. (2)'!J15+'т.5 опл. тр АМБУЛАТОРИЯ'!J15+'т.5 опл.Скорая'!J15</f>
        <v>1521.8</v>
      </c>
      <c r="K14" s="159">
        <f>'т.5 опл. тр СТАЦИОНАР'!K15+'т.5 опл.Дневной стац. (2)'!K15+'т.5 опл. тр АМБУЛАТОРИЯ'!K15+'т.5 опл.Скорая'!K15</f>
        <v>97.4</v>
      </c>
      <c r="L14" s="159">
        <f>'т.5 опл. тр СТАЦИОНАР'!L15+'т.5 опл.Дневной стац. (2)'!L15+'т.5 опл. тр АМБУЛАТОРИЯ'!L15+'т.5 опл.Скорая'!L15</f>
        <v>1424.4</v>
      </c>
      <c r="M14" s="130">
        <f>'т.5 опл. тр СТАЦИОНАР'!M15+'т.5 опл.Дневной стац. (2)'!M15+'т.5 опл. тр АМБУЛАТОРИЯ'!M15+'т.5 опл.Скорая'!M15</f>
        <v>50527</v>
      </c>
      <c r="N14" s="159">
        <f>'т.5 опл. тр СТАЦИОНАР'!N15+'т.5 опл.Дневной стац. (2)'!N15+'т.5 опл. тр АМБУЛАТОРИЯ'!N15+'т.5 опл.Скорая'!N15</f>
        <v>18045.2</v>
      </c>
      <c r="O14" s="159">
        <f>'т.5 опл. тр СТАЦИОНАР'!O15+'т.5 опл.Дневной стац. (2)'!O15+'т.5 опл. тр АМБУЛАТОРИЯ'!O15+'т.5 опл.Скорая'!O15</f>
        <v>32481.8</v>
      </c>
      <c r="Q14" s="183">
        <f>D14+J14+M14</f>
        <v>54971.8</v>
      </c>
      <c r="R14" s="166">
        <f>Q14/C14/12*1000</f>
        <v>45401.22</v>
      </c>
    </row>
    <row r="15" spans="1:19" ht="33.75" customHeight="1" x14ac:dyDescent="0.25">
      <c r="A15" s="13"/>
      <c r="B15" s="52" t="s">
        <v>88</v>
      </c>
      <c r="C15" s="130">
        <f>'т.5 опл. тр СТАЦИОНАР'!C16+'т.5 опл.Дневной стац. (2)'!C16+'т.5 опл. тр АМБУЛАТОРИЯ'!C16+'т.5 опл.Скорая'!C16</f>
        <v>97.9</v>
      </c>
      <c r="D15" s="130">
        <f>'т.5 опл. тр СТАЦИОНАР'!D16+'т.5 опл.Дневной стац. (2)'!D16+'т.5 опл. тр АМБУЛАТОРИЯ'!D16+'т.5 опл.Скорая'!D16</f>
        <v>2793</v>
      </c>
      <c r="E15" s="159">
        <f>'т.5 опл. тр СТАЦИОНАР'!E16+'т.5 опл.Дневной стац. (2)'!E16+'т.5 опл. тр АМБУЛАТОРИЯ'!E16+'т.5 опл.Скорая'!E16</f>
        <v>763.9</v>
      </c>
      <c r="F15" s="159">
        <f>'т.5 опл. тр СТАЦИОНАР'!F16+'т.5 опл.Дневной стац. (2)'!F16+'т.5 опл. тр АМБУЛАТОРИЯ'!F16+'т.5 опл.Скорая'!F16</f>
        <v>740.5</v>
      </c>
      <c r="G15" s="159">
        <f>'т.5 опл. тр СТАЦИОНАР'!G16+'т.5 опл.Дневной стац. (2)'!G16+'т.5 опл. тр АМБУЛАТОРИЯ'!G16+'т.5 опл.Скорая'!G16</f>
        <v>125.1</v>
      </c>
      <c r="H15" s="159">
        <f>'т.5 опл. тр СТАЦИОНАР'!H16+'т.5 опл.Дневной стац. (2)'!H16+'т.5 опл. тр АМБУЛАТОРИЯ'!H16+'т.5 опл.Скорая'!H16</f>
        <v>0</v>
      </c>
      <c r="I15" s="159">
        <f>'т.5 опл. тр СТАЦИОНАР'!I16+'т.5 опл.Дневной стац. (2)'!I16+'т.5 опл. тр АМБУЛАТОРИЯ'!I16+'т.5 опл.Скорая'!I16</f>
        <v>1163.5</v>
      </c>
      <c r="J15" s="130">
        <f>'т.5 опл. тр СТАЦИОНАР'!J16+'т.5 опл.Дневной стац. (2)'!J16+'т.5 опл. тр АМБУЛАТОРИЯ'!J16+'т.5 опл.Скорая'!J16</f>
        <v>1221.8</v>
      </c>
      <c r="K15" s="159">
        <f>'т.5 опл. тр СТАЦИОНАР'!K16+'т.5 опл.Дневной стац. (2)'!K16+'т.5 опл. тр АМБУЛАТОРИЯ'!K16+'т.5 опл.Скорая'!K16</f>
        <v>97.4</v>
      </c>
      <c r="L15" s="159">
        <f>'т.5 опл. тр СТАЦИОНАР'!L16+'т.5 опл.Дневной стац. (2)'!L16+'т.5 опл. тр АМБУЛАТОРИЯ'!L16+'т.5 опл.Скорая'!L16</f>
        <v>1124.4000000000001</v>
      </c>
      <c r="M15" s="130">
        <f>'т.5 опл. тр СТАЦИОНАР'!M16+'т.5 опл.Дневной стац. (2)'!M16+'т.5 опл. тр АМБУЛАТОРИЯ'!M16+'т.5 опл.Скорая'!M16</f>
        <v>48981.3</v>
      </c>
      <c r="N15" s="159">
        <f>'т.5 опл. тр СТАЦИОНАР'!N16+'т.5 опл.Дневной стац. (2)'!N16+'т.5 опл. тр АМБУЛАТОРИЯ'!N16+'т.5 опл.Скорая'!N16</f>
        <v>17474.900000000001</v>
      </c>
      <c r="O15" s="159">
        <f>'т.5 опл. тр СТАЦИОНАР'!O16+'т.5 опл.Дневной стац. (2)'!O16+'т.5 опл. тр АМБУЛАТОРИЯ'!O16+'т.5 опл.Скорая'!O16</f>
        <v>31506.400000000001</v>
      </c>
      <c r="Q15" s="183">
        <f>D15+J15+M15</f>
        <v>52996.1</v>
      </c>
      <c r="R15" s="166">
        <f>Q15/C15/12*1000</f>
        <v>45110.74</v>
      </c>
    </row>
    <row r="16" spans="1:19" ht="35.25" customHeight="1" x14ac:dyDescent="0.25">
      <c r="A16" s="13" t="s">
        <v>71</v>
      </c>
      <c r="B16" s="52" t="s">
        <v>59</v>
      </c>
      <c r="C16" s="130">
        <f>'т.5 опл. тр СТАЦИОНАР'!C17+'т.5 опл.Дневной стац. (2)'!C17+'т.5 опл. тр АМБУЛАТОРИЯ'!C17+'т.5 опл.Скорая'!C17</f>
        <v>20.7</v>
      </c>
      <c r="D16" s="130">
        <f>'т.5 опл. тр СТАЦИОНАР'!D17+'т.5 опл.Дневной стац. (2)'!D17+'т.5 опл. тр АМБУЛАТОРИЯ'!D17+'т.5 опл.Скорая'!D17</f>
        <v>1776.9</v>
      </c>
      <c r="E16" s="159">
        <f>'т.5 опл. тр СТАЦИОНАР'!E17+'т.5 опл.Дневной стац. (2)'!E17+'т.5 опл. тр АМБУЛАТОРИЯ'!E17+'т.5 опл.Скорая'!E17</f>
        <v>417.1</v>
      </c>
      <c r="F16" s="159">
        <f>'т.5 опл. тр СТАЦИОНАР'!F17+'т.5 опл.Дневной стац. (2)'!F17+'т.5 опл. тр АМБУЛАТОРИЯ'!F17+'т.5 опл.Скорая'!F17</f>
        <v>567.5</v>
      </c>
      <c r="G16" s="159">
        <f>'т.5 опл. тр СТАЦИОНАР'!G17+'т.5 опл.Дневной стац. (2)'!G17+'т.5 опл. тр АМБУЛАТОРИЯ'!G17+'т.5 опл.Скорая'!G17</f>
        <v>125.1</v>
      </c>
      <c r="H16" s="159">
        <f>'т.5 опл. тр СТАЦИОНАР'!H17+'т.5 опл.Дневной стац. (2)'!H17+'т.5 опл. тр АМБУЛАТОРИЯ'!H17+'т.5 опл.Скорая'!H17</f>
        <v>0</v>
      </c>
      <c r="I16" s="159">
        <f>'т.5 опл. тр СТАЦИОНАР'!I17+'т.5 опл.Дневной стац. (2)'!I17+'т.5 опл. тр АМБУЛАТОРИЯ'!I17+'т.5 опл.Скорая'!I17</f>
        <v>667.2</v>
      </c>
      <c r="J16" s="130">
        <f>'т.5 опл. тр СТАЦИОНАР'!J17+'т.5 опл.Дневной стац. (2)'!J17+'т.5 опл. тр АМБУЛАТОРИЯ'!J17+'т.5 опл.Скорая'!J17</f>
        <v>714.2</v>
      </c>
      <c r="K16" s="159">
        <f>'т.5 опл. тр СТАЦИОНАР'!K17+'т.5 опл.Дневной стац. (2)'!K17+'т.5 опл. тр АМБУЛАТОРИЯ'!K17+'т.5 опл.Скорая'!K17</f>
        <v>0</v>
      </c>
      <c r="L16" s="159">
        <f>'т.5 опл. тр СТАЦИОНАР'!L17+'т.5 опл.Дневной стац. (2)'!L17+'т.5 опл. тр АМБУЛАТОРИЯ'!L17+'т.5 опл.Скорая'!L17</f>
        <v>714.2</v>
      </c>
      <c r="M16" s="130">
        <f>'т.5 опл. тр СТАЦИОНАР'!M17+'т.5 опл.Дневной стац. (2)'!M17+'т.5 опл. тр АМБУЛАТОРИЯ'!M17+'т.5 опл.Скорая'!M17</f>
        <v>15976.4</v>
      </c>
      <c r="N16" s="159">
        <f>'т.5 опл. тр СТАЦИОНАР'!N17+'т.5 опл.Дневной стац. (2)'!N17+'т.5 опл. тр АМБУЛАТОРИЯ'!N17+'т.5 опл.Скорая'!N17</f>
        <v>4374.3</v>
      </c>
      <c r="O16" s="159">
        <f>'т.5 опл. тр СТАЦИОНАР'!O17+'т.5 опл.Дневной стац. (2)'!O17+'т.5 опл. тр АМБУЛАТОРИЯ'!O17+'т.5 опл.Скорая'!O17</f>
        <v>11602.1</v>
      </c>
      <c r="Q16" s="184">
        <f>D16+J16+M16</f>
        <v>18467.5</v>
      </c>
      <c r="R16" s="185">
        <f>Q16/C16/12*1000</f>
        <v>74345.81</v>
      </c>
    </row>
    <row r="17" spans="1:18" ht="35.25" customHeight="1" x14ac:dyDescent="0.25">
      <c r="A17" s="13"/>
      <c r="B17" s="52" t="s">
        <v>88</v>
      </c>
      <c r="C17" s="130">
        <f>'т.5 опл. тр СТАЦИОНАР'!C18+'т.5 опл.Дневной стац. (2)'!C18+'т.5 опл. тр АМБУЛАТОРИЯ'!C18+'т.5 опл.Скорая'!C18</f>
        <v>19.2</v>
      </c>
      <c r="D17" s="130">
        <f>'т.5 опл. тр СТАЦИОНАР'!D18+'т.5 опл.Дневной стац. (2)'!D18+'т.5 опл. тр АМБУЛАТОРИЯ'!D18+'т.5 опл.Скорая'!D18</f>
        <v>1776.9</v>
      </c>
      <c r="E17" s="159">
        <f>'т.5 опл. тр СТАЦИОНАР'!E18+'т.5 опл.Дневной стац. (2)'!E18+'т.5 опл. тр АМБУЛАТОРИЯ'!E18+'т.5 опл.Скорая'!E18</f>
        <v>417.1</v>
      </c>
      <c r="F17" s="159">
        <f>'т.5 опл. тр СТАЦИОНАР'!F18+'т.5 опл.Дневной стац. (2)'!F18+'т.5 опл. тр АМБУЛАТОРИЯ'!F18+'т.5 опл.Скорая'!F18</f>
        <v>567.5</v>
      </c>
      <c r="G17" s="159">
        <f>'т.5 опл. тр СТАЦИОНАР'!G18+'т.5 опл.Дневной стац. (2)'!G18+'т.5 опл. тр АМБУЛАТОРИЯ'!G18+'т.5 опл.Скорая'!G18</f>
        <v>125.1</v>
      </c>
      <c r="H17" s="159">
        <f>'т.5 опл. тр СТАЦИОНАР'!H18+'т.5 опл.Дневной стац. (2)'!H18+'т.5 опл. тр АМБУЛАТОРИЯ'!H18+'т.5 опл.Скорая'!H18</f>
        <v>0</v>
      </c>
      <c r="I17" s="159">
        <f>'т.5 опл. тр СТАЦИОНАР'!I18+'т.5 опл.Дневной стац. (2)'!I18+'т.5 опл. тр АМБУЛАТОРИЯ'!I18+'т.5 опл.Скорая'!I18</f>
        <v>667.2</v>
      </c>
      <c r="J17" s="130">
        <f>'т.5 опл. тр СТАЦИОНАР'!J18+'т.5 опл.Дневной стац. (2)'!J18+'т.5 опл. тр АМБУЛАТОРИЯ'!J18+'т.5 опл.Скорая'!J18</f>
        <v>414.2</v>
      </c>
      <c r="K17" s="159">
        <f>'т.5 опл. тр СТАЦИОНАР'!K18+'т.5 опл.Дневной стац. (2)'!K18+'т.5 опл. тр АМБУЛАТОРИЯ'!K18+'т.5 опл.Скорая'!K18</f>
        <v>0</v>
      </c>
      <c r="L17" s="159">
        <f>'т.5 опл. тр СТАЦИОНАР'!L18+'т.5 опл.Дневной стац. (2)'!L18+'т.5 опл. тр АМБУЛАТОРИЯ'!L18+'т.5 опл.Скорая'!L18</f>
        <v>414.2</v>
      </c>
      <c r="M17" s="130">
        <f>'т.5 опл. тр СТАЦИОНАР'!M18+'т.5 опл.Дневной стац. (2)'!M18+'т.5 опл. тр АМБУЛАТОРИЯ'!M18+'т.5 опл.Скорая'!M18</f>
        <v>15098.8</v>
      </c>
      <c r="N17" s="159">
        <f>'т.5 опл. тр СТАЦИОНАР'!N18+'т.5 опл.Дневной стац. (2)'!N18+'т.5 опл. тр АМБУЛАТОРИЯ'!N18+'т.5 опл.Скорая'!N18</f>
        <v>4064.1</v>
      </c>
      <c r="O17" s="159">
        <f>'т.5 опл. тр СТАЦИОНАР'!O18+'т.5 опл.Дневной стац. (2)'!O18+'т.5 опл. тр АМБУЛАТОРИЯ'!O18+'т.5 опл.Скорая'!O18</f>
        <v>11034.7</v>
      </c>
      <c r="Q17" s="184">
        <f t="shared" ref="Q17:Q32" si="0">D17+J17+M17</f>
        <v>17289.900000000001</v>
      </c>
      <c r="R17" s="185">
        <f t="shared" ref="R17:R32" si="1">Q17/C17/12*1000</f>
        <v>75042.97</v>
      </c>
    </row>
    <row r="18" spans="1:18" ht="24.75" customHeight="1" x14ac:dyDescent="0.25">
      <c r="A18" s="13" t="s">
        <v>72</v>
      </c>
      <c r="B18" s="52" t="s">
        <v>80</v>
      </c>
      <c r="C18" s="130">
        <f>'т.5 опл. тр СТАЦИОНАР'!C19+'т.5 опл.Дневной стац. (2)'!C19+'т.5 опл. тр АМБУЛАТОРИЯ'!C19+'т.5 опл.Скорая'!C19</f>
        <v>74.7</v>
      </c>
      <c r="D18" s="130">
        <f>'т.5 опл. тр СТАЦИОНАР'!D19+'т.5 опл.Дневной стац. (2)'!D19+'т.5 опл. тр АМБУЛАТОРИЯ'!D19+'т.5 опл.Скорая'!D19</f>
        <v>1146.0999999999999</v>
      </c>
      <c r="E18" s="159">
        <f>'т.5 опл. тр СТАЦИОНАР'!E19+'т.5 опл.Дневной стац. (2)'!E19+'т.5 опл. тр АМБУЛАТОРИЯ'!E19+'т.5 опл.Скорая'!E19</f>
        <v>433.5</v>
      </c>
      <c r="F18" s="159">
        <f>'т.5 опл. тр СТАЦИОНАР'!F19+'т.5 опл.Дневной стац. (2)'!F19+'т.5 опл. тр АМБУЛАТОРИЯ'!F19+'т.5 опл.Скорая'!F19</f>
        <v>216.3</v>
      </c>
      <c r="G18" s="159">
        <f>'т.5 опл. тр СТАЦИОНАР'!G19+'т.5 опл.Дневной стац. (2)'!G19+'т.5 опл. тр АМБУЛАТОРИЯ'!G19+'т.5 опл.Скорая'!G19</f>
        <v>0</v>
      </c>
      <c r="H18" s="159">
        <f>'т.5 опл. тр СТАЦИОНАР'!H19+'т.5 опл.Дневной стац. (2)'!H19+'т.5 опл. тр АМБУЛАТОРИЯ'!H19+'т.5 опл.Скорая'!H19</f>
        <v>0</v>
      </c>
      <c r="I18" s="159">
        <f>'т.5 опл. тр СТАЦИОНАР'!I19+'т.5 опл.Дневной стац. (2)'!I19+'т.5 опл. тр АМБУЛАТОРИЯ'!I19+'т.5 опл.Скорая'!I19</f>
        <v>496.3</v>
      </c>
      <c r="J18" s="130">
        <f>'т.5 опл. тр СТАЦИОНАР'!J19+'т.5 опл.Дневной стац. (2)'!J19+'т.5 опл. тр АМБУЛАТОРИЯ'!J19+'т.5 опл.Скорая'!J19</f>
        <v>807.6</v>
      </c>
      <c r="K18" s="159">
        <f>'т.5 опл. тр СТАЦИОНАР'!K19+'т.5 опл.Дневной стац. (2)'!K19+'т.5 опл. тр АМБУЛАТОРИЯ'!K19+'т.5 опл.Скорая'!K19</f>
        <v>97.4</v>
      </c>
      <c r="L18" s="159">
        <f>'т.5 опл. тр СТАЦИОНАР'!L19+'т.5 опл.Дневной стац. (2)'!L19+'т.5 опл. тр АМБУЛАТОРИЯ'!L19+'т.5 опл.Скорая'!L19</f>
        <v>710.2</v>
      </c>
      <c r="M18" s="130">
        <f>'т.5 опл. тр СТАЦИОНАР'!M19+'т.5 опл.Дневной стац. (2)'!M19+'т.5 опл. тр АМБУЛАТОРИЯ'!M19+'т.5 опл.Скорая'!M19</f>
        <v>32105.5</v>
      </c>
      <c r="N18" s="159">
        <f>'т.5 опл. тр СТАЦИОНАР'!N19+'т.5 опл.Дневной стац. (2)'!N19+'т.5 опл. тр АМБУЛАТОРИЯ'!N19+'т.5 опл.Скорая'!N19</f>
        <v>12965.6</v>
      </c>
      <c r="O18" s="159">
        <f>'т.5 опл. тр СТАЦИОНАР'!O19+'т.5 опл.Дневной стац. (2)'!O19+'т.5 опл. тр АМБУЛАТОРИЯ'!O19+'т.5 опл.Скорая'!O19</f>
        <v>19139.900000000001</v>
      </c>
      <c r="Q18" s="184">
        <f t="shared" si="0"/>
        <v>34059.199999999997</v>
      </c>
      <c r="R18" s="185">
        <f t="shared" si="1"/>
        <v>37995.54</v>
      </c>
    </row>
    <row r="19" spans="1:18" ht="31.5" x14ac:dyDescent="0.25">
      <c r="A19" s="13"/>
      <c r="B19" s="52" t="s">
        <v>88</v>
      </c>
      <c r="C19" s="130">
        <f>'т.5 опл. тр СТАЦИОНАР'!C20+'т.5 опл.Дневной стац. (2)'!C20+'т.5 опл. тр АМБУЛАТОРИЯ'!C20+'т.5 опл.Скорая'!C20</f>
        <v>73.2</v>
      </c>
      <c r="D19" s="130">
        <f>'т.5 опл. тр СТАЦИОНАР'!D20+'т.5 опл.Дневной стац. (2)'!D20+'т.5 опл. тр АМБУЛАТОРИЯ'!D20+'т.5 опл.Скорая'!D20</f>
        <v>1016.1</v>
      </c>
      <c r="E19" s="159">
        <f>'т.5 опл. тр СТАЦИОНАР'!E20+'т.5 опл.Дневной стац. (2)'!E20+'т.5 опл. тр АМБУЛАТОРИЯ'!E20+'т.5 опл.Скорая'!E20</f>
        <v>346.8</v>
      </c>
      <c r="F19" s="159">
        <f>'т.5 опл. тр СТАЦИОНАР'!F20+'т.5 опл.Дневной стац. (2)'!F20+'т.5 опл. тр АМБУЛАТОРИЯ'!F20+'т.5 опл.Скорая'!F20</f>
        <v>173</v>
      </c>
      <c r="G19" s="159">
        <f>'т.5 опл. тр СТАЦИОНАР'!G20+'т.5 опл.Дневной стац. (2)'!G20+'т.5 опл. тр АМБУЛАТОРИЯ'!G20+'т.5 опл.Скорая'!G20</f>
        <v>0</v>
      </c>
      <c r="H19" s="159">
        <f>'т.5 опл. тр СТАЦИОНАР'!H20+'т.5 опл.Дневной стац. (2)'!H20+'т.5 опл. тр АМБУЛАТОРИЯ'!H20+'т.5 опл.Скорая'!H20</f>
        <v>0</v>
      </c>
      <c r="I19" s="159">
        <f>'т.5 опл. тр СТАЦИОНАР'!I20+'т.5 опл.Дневной стац. (2)'!I20+'т.5 опл. тр АМБУЛАТОРИЯ'!I20+'т.5 опл.Скорая'!I20</f>
        <v>496.3</v>
      </c>
      <c r="J19" s="130">
        <f>'т.5 опл. тр СТАЦИОНАР'!J20+'т.5 опл.Дневной стац. (2)'!J20+'т.5 опл. тр АМБУЛАТОРИЯ'!J20+'т.5 опл.Скорая'!J20</f>
        <v>807.6</v>
      </c>
      <c r="K19" s="159">
        <f>'т.5 опл. тр СТАЦИОНАР'!K20+'т.5 опл.Дневной стац. (2)'!K20+'т.5 опл. тр АМБУЛАТОРИЯ'!K20+'т.5 опл.Скорая'!K20</f>
        <v>97.4</v>
      </c>
      <c r="L19" s="159">
        <f>'т.5 опл. тр СТАЦИОНАР'!L20+'т.5 опл.Дневной стац. (2)'!L20+'т.5 опл. тр АМБУЛАТОРИЯ'!L20+'т.5 опл.Скорая'!L20</f>
        <v>710.2</v>
      </c>
      <c r="M19" s="130">
        <f>'т.5 опл. тр СТАЦИОНАР'!M20+'т.5 опл.Дневной стац. (2)'!M20+'т.5 опл. тр АМБУЛАТОРИЯ'!M20+'т.5 опл.Скорая'!M20</f>
        <v>31437.4</v>
      </c>
      <c r="N19" s="159">
        <f>'т.5 опл. тр СТАЦИОНАР'!N20+'т.5 опл.Дневной стац. (2)'!N20+'т.5 опл. тр АМБУЛАТОРИЯ'!N20+'т.5 опл.Скорая'!N20</f>
        <v>12705.5</v>
      </c>
      <c r="O19" s="159">
        <f>'т.5 опл. тр СТАЦИОНАР'!O20+'т.5 опл.Дневной стац. (2)'!O20+'т.5 опл. тр АМБУЛАТОРИЯ'!O20+'т.5 опл.Скорая'!O20</f>
        <v>18731.900000000001</v>
      </c>
      <c r="Q19" s="184">
        <f t="shared" si="0"/>
        <v>33261.1</v>
      </c>
      <c r="R19" s="185">
        <f t="shared" si="1"/>
        <v>37865.550000000003</v>
      </c>
    </row>
    <row r="20" spans="1:18" ht="24.75" customHeight="1" x14ac:dyDescent="0.25">
      <c r="A20" s="13" t="s">
        <v>73</v>
      </c>
      <c r="B20" s="52" t="s">
        <v>60</v>
      </c>
      <c r="C20" s="130">
        <f>'т.5 опл. тр СТАЦИОНАР'!C21+'т.5 опл.Дневной стац. (2)'!C21+'т.5 опл. тр АМБУЛАТОРИЯ'!C21+'т.5 опл.Скорая'!C21</f>
        <v>0</v>
      </c>
      <c r="D20" s="130">
        <f>'т.5 опл. тр СТАЦИОНАР'!D21+'т.5 опл.Дневной стац. (2)'!D21+'т.5 опл. тр АМБУЛАТОРИЯ'!D21+'т.5 опл.Скорая'!D21</f>
        <v>0</v>
      </c>
      <c r="E20" s="159">
        <f>'т.5 опл. тр СТАЦИОНАР'!E21+'т.5 опл.Дневной стац. (2)'!E21+'т.5 опл. тр АМБУЛАТОРИЯ'!E21+'т.5 опл.Скорая'!E21</f>
        <v>0</v>
      </c>
      <c r="F20" s="159">
        <f>'т.5 опл. тр СТАЦИОНАР'!F21+'т.5 опл.Дневной стац. (2)'!F21+'т.5 опл. тр АМБУЛАТОРИЯ'!F21+'т.5 опл.Скорая'!F21</f>
        <v>0</v>
      </c>
      <c r="G20" s="159">
        <f>'т.5 опл. тр СТАЦИОНАР'!G21+'т.5 опл.Дневной стац. (2)'!G21+'т.5 опл. тр АМБУЛАТОРИЯ'!G21+'т.5 опл.Скорая'!G21</f>
        <v>0</v>
      </c>
      <c r="H20" s="159">
        <f>'т.5 опл. тр СТАЦИОНАР'!H21+'т.5 опл.Дневной стац. (2)'!H21+'т.5 опл. тр АМБУЛАТОРИЯ'!H21+'т.5 опл.Скорая'!H21</f>
        <v>0</v>
      </c>
      <c r="I20" s="159">
        <f>'т.5 опл. тр СТАЦИОНАР'!I21+'т.5 опл.Дневной стац. (2)'!I21+'т.5 опл. тр АМБУЛАТОРИЯ'!I21+'т.5 опл.Скорая'!I21</f>
        <v>0</v>
      </c>
      <c r="J20" s="130">
        <f>'т.5 опл. тр СТАЦИОНАР'!J21+'т.5 опл.Дневной стац. (2)'!J21+'т.5 опл. тр АМБУЛАТОРИЯ'!J21+'т.5 опл.Скорая'!J21</f>
        <v>0</v>
      </c>
      <c r="K20" s="159">
        <f>'т.5 опл. тр СТАЦИОНАР'!K21+'т.5 опл.Дневной стац. (2)'!K21+'т.5 опл. тр АМБУЛАТОРИЯ'!K21+'т.5 опл.Скорая'!K21</f>
        <v>0</v>
      </c>
      <c r="L20" s="159">
        <f>'т.5 опл. тр СТАЦИОНАР'!L21+'т.5 опл.Дневной стац. (2)'!L21+'т.5 опл. тр АМБУЛАТОРИЯ'!L21+'т.5 опл.Скорая'!L21</f>
        <v>0</v>
      </c>
      <c r="M20" s="130">
        <f>'т.5 опл. тр СТАЦИОНАР'!M21+'т.5 опл.Дневной стац. (2)'!M21+'т.5 опл. тр АМБУЛАТОРИЯ'!M21+'т.5 опл.Скорая'!M21</f>
        <v>0</v>
      </c>
      <c r="N20" s="159">
        <f>'т.5 опл. тр СТАЦИОНАР'!N21+'т.5 опл.Дневной стац. (2)'!N21+'т.5 опл. тр АМБУЛАТОРИЯ'!N21+'т.5 опл.Скорая'!N21</f>
        <v>0</v>
      </c>
      <c r="O20" s="159">
        <f>'т.5 опл. тр СТАЦИОНАР'!O21+'т.5 опл.Дневной стац. (2)'!O21+'т.5 опл. тр АМБУЛАТОРИЯ'!O21+'т.5 опл.Скорая'!O21</f>
        <v>0</v>
      </c>
      <c r="Q20" s="183">
        <f t="shared" si="0"/>
        <v>0</v>
      </c>
      <c r="R20" s="166" t="e">
        <f t="shared" si="1"/>
        <v>#DIV/0!</v>
      </c>
    </row>
    <row r="21" spans="1:18" ht="31.5" x14ac:dyDescent="0.25">
      <c r="A21" s="13"/>
      <c r="B21" s="52" t="s">
        <v>88</v>
      </c>
      <c r="C21" s="130">
        <f>'т.5 опл. тр СТАЦИОНАР'!C22+'т.5 опл.Дневной стац. (2)'!C22+'т.5 опл. тр АМБУЛАТОРИЯ'!C22+'т.5 опл.Скорая'!C22</f>
        <v>0</v>
      </c>
      <c r="D21" s="130">
        <f>'т.5 опл. тр СТАЦИОНАР'!D22+'т.5 опл.Дневной стац. (2)'!D22+'т.5 опл. тр АМБУЛАТОРИЯ'!D22+'т.5 опл.Скорая'!D22</f>
        <v>0</v>
      </c>
      <c r="E21" s="159">
        <f>'т.5 опл. тр СТАЦИОНАР'!E22+'т.5 опл.Дневной стац. (2)'!E22+'т.5 опл. тр АМБУЛАТОРИЯ'!E22+'т.5 опл.Скорая'!E22</f>
        <v>0</v>
      </c>
      <c r="F21" s="159">
        <f>'т.5 опл. тр СТАЦИОНАР'!F22+'т.5 опл.Дневной стац. (2)'!F22+'т.5 опл. тр АМБУЛАТОРИЯ'!F22+'т.5 опл.Скорая'!F22</f>
        <v>0</v>
      </c>
      <c r="G21" s="159">
        <f>'т.5 опл. тр СТАЦИОНАР'!G22+'т.5 опл.Дневной стац. (2)'!G22+'т.5 опл. тр АМБУЛАТОРИЯ'!G22+'т.5 опл.Скорая'!G22</f>
        <v>0</v>
      </c>
      <c r="H21" s="159">
        <f>'т.5 опл. тр СТАЦИОНАР'!H22+'т.5 опл.Дневной стац. (2)'!H22+'т.5 опл. тр АМБУЛАТОРИЯ'!H22+'т.5 опл.Скорая'!H22</f>
        <v>0</v>
      </c>
      <c r="I21" s="159">
        <f>'т.5 опл. тр СТАЦИОНАР'!I22+'т.5 опл.Дневной стац. (2)'!I22+'т.5 опл. тр АМБУЛАТОРИЯ'!I22+'т.5 опл.Скорая'!I22</f>
        <v>0</v>
      </c>
      <c r="J21" s="130">
        <f>'т.5 опл. тр СТАЦИОНАР'!J22+'т.5 опл.Дневной стац. (2)'!J22+'т.5 опл. тр АМБУЛАТОРИЯ'!J22+'т.5 опл.Скорая'!J22</f>
        <v>0</v>
      </c>
      <c r="K21" s="159">
        <f>'т.5 опл. тр СТАЦИОНАР'!K22+'т.5 опл.Дневной стац. (2)'!K22+'т.5 опл. тр АМБУЛАТОРИЯ'!K22+'т.5 опл.Скорая'!K22</f>
        <v>0</v>
      </c>
      <c r="L21" s="159">
        <f>'т.5 опл. тр СТАЦИОНАР'!L22+'т.5 опл.Дневной стац. (2)'!L22+'т.5 опл. тр АМБУЛАТОРИЯ'!L22+'т.5 опл.Скорая'!L22</f>
        <v>0</v>
      </c>
      <c r="M21" s="130">
        <f>'т.5 опл. тр СТАЦИОНАР'!M22+'т.5 опл.Дневной стац. (2)'!M22+'т.5 опл. тр АМБУЛАТОРИЯ'!M22+'т.5 опл.Скорая'!M22</f>
        <v>0</v>
      </c>
      <c r="N21" s="159">
        <f>'т.5 опл. тр СТАЦИОНАР'!N22+'т.5 опл.Дневной стац. (2)'!N22+'т.5 опл. тр АМБУЛАТОРИЯ'!N22+'т.5 опл.Скорая'!N22</f>
        <v>0</v>
      </c>
      <c r="O21" s="159">
        <f>'т.5 опл. тр СТАЦИОНАР'!O22+'т.5 опл.Дневной стац. (2)'!O22+'т.5 опл. тр АМБУЛАТОРИЯ'!O22+'т.5 опл.Скорая'!O22</f>
        <v>0</v>
      </c>
      <c r="Q21" s="183">
        <f t="shared" si="0"/>
        <v>0</v>
      </c>
      <c r="R21" s="166" t="e">
        <f t="shared" si="1"/>
        <v>#DIV/0!</v>
      </c>
    </row>
    <row r="22" spans="1:18" ht="27" customHeight="1" x14ac:dyDescent="0.25">
      <c r="A22" s="13" t="s">
        <v>74</v>
      </c>
      <c r="B22" s="52" t="s">
        <v>94</v>
      </c>
      <c r="C22" s="130">
        <f>'т.5 опл. тр СТАЦИОНАР'!C23+'т.5 опл.Дневной стац. (2)'!C23+'т.5 опл. тр АМБУЛАТОРИЯ'!C23+'т.5 опл.Скорая'!C23</f>
        <v>0</v>
      </c>
      <c r="D22" s="130">
        <f>'т.5 опл. тр СТАЦИОНАР'!D23+'т.5 опл.Дневной стац. (2)'!D23+'т.5 опл. тр АМБУЛАТОРИЯ'!D23+'т.5 опл.Скорая'!D23</f>
        <v>0</v>
      </c>
      <c r="E22" s="159">
        <f>'т.5 опл. тр СТАЦИОНАР'!E23+'т.5 опл.Дневной стац. (2)'!E23+'т.5 опл. тр АМБУЛАТОРИЯ'!E23+'т.5 опл.Скорая'!E23</f>
        <v>0</v>
      </c>
      <c r="F22" s="159">
        <f>'т.5 опл. тр СТАЦИОНАР'!F23+'т.5 опл.Дневной стац. (2)'!F23+'т.5 опл. тр АМБУЛАТОРИЯ'!F23+'т.5 опл.Скорая'!F23</f>
        <v>0</v>
      </c>
      <c r="G22" s="159">
        <f>'т.5 опл. тр СТАЦИОНАР'!G23+'т.5 опл.Дневной стац. (2)'!G23+'т.5 опл. тр АМБУЛАТОРИЯ'!G23+'т.5 опл.Скорая'!G23</f>
        <v>0</v>
      </c>
      <c r="H22" s="159">
        <f>'т.5 опл. тр СТАЦИОНАР'!H23+'т.5 опл.Дневной стац. (2)'!H23+'т.5 опл. тр АМБУЛАТОРИЯ'!H23+'т.5 опл.Скорая'!H23</f>
        <v>0</v>
      </c>
      <c r="I22" s="159">
        <f>'т.5 опл. тр СТАЦИОНАР'!I23+'т.5 опл.Дневной стац. (2)'!I23+'т.5 опл. тр АМБУЛАТОРИЯ'!I23+'т.5 опл.Скорая'!I23</f>
        <v>0</v>
      </c>
      <c r="J22" s="130">
        <f>'т.5 опл. тр СТАЦИОНАР'!J23+'т.5 опл.Дневной стац. (2)'!J23+'т.5 опл. тр АМБУЛАТОРИЯ'!J23+'т.5 опл.Скорая'!J23</f>
        <v>0</v>
      </c>
      <c r="K22" s="159">
        <f>'т.5 опл. тр СТАЦИОНАР'!K23+'т.5 опл.Дневной стац. (2)'!K23+'т.5 опл. тр АМБУЛАТОРИЯ'!K23+'т.5 опл.Скорая'!K23</f>
        <v>0</v>
      </c>
      <c r="L22" s="159">
        <f>'т.5 опл. тр СТАЦИОНАР'!L23+'т.5 опл.Дневной стац. (2)'!L23+'т.5 опл. тр АМБУЛАТОРИЯ'!L23+'т.5 опл.Скорая'!L23</f>
        <v>0</v>
      </c>
      <c r="M22" s="130">
        <f>'т.5 опл. тр СТАЦИОНАР'!M23+'т.5 опл.Дневной стац. (2)'!M23+'т.5 опл. тр АМБУЛАТОРИЯ'!M23+'т.5 опл.Скорая'!M23</f>
        <v>0</v>
      </c>
      <c r="N22" s="159">
        <f>'т.5 опл. тр СТАЦИОНАР'!N23+'т.5 опл.Дневной стац. (2)'!N23+'т.5 опл. тр АМБУЛАТОРИЯ'!N23+'т.5 опл.Скорая'!N23</f>
        <v>0</v>
      </c>
      <c r="O22" s="159">
        <f>'т.5 опл. тр СТАЦИОНАР'!O23+'т.5 опл.Дневной стац. (2)'!O23+'т.5 опл. тр АМБУЛАТОРИЯ'!O23+'т.5 опл.Скорая'!O23</f>
        <v>0</v>
      </c>
      <c r="Q22" s="183">
        <f t="shared" si="0"/>
        <v>0</v>
      </c>
      <c r="R22" s="166" t="e">
        <f t="shared" si="1"/>
        <v>#DIV/0!</v>
      </c>
    </row>
    <row r="23" spans="1:18" ht="31.5" x14ac:dyDescent="0.25">
      <c r="A23" s="13"/>
      <c r="B23" s="52" t="s">
        <v>88</v>
      </c>
      <c r="C23" s="130">
        <f>'т.5 опл. тр СТАЦИОНАР'!C24+'т.5 опл.Дневной стац. (2)'!C24+'т.5 опл. тр АМБУЛАТОРИЯ'!C24+'т.5 опл.Скорая'!C24</f>
        <v>0</v>
      </c>
      <c r="D23" s="130">
        <f>'т.5 опл. тр СТАЦИОНАР'!D24+'т.5 опл.Дневной стац. (2)'!D24+'т.5 опл. тр АМБУЛАТОРИЯ'!D24+'т.5 опл.Скорая'!D24</f>
        <v>0</v>
      </c>
      <c r="E23" s="159">
        <f>'т.5 опл. тр СТАЦИОНАР'!E24+'т.5 опл.Дневной стац. (2)'!E24+'т.5 опл. тр АМБУЛАТОРИЯ'!E24+'т.5 опл.Скорая'!E24</f>
        <v>0</v>
      </c>
      <c r="F23" s="159">
        <f>'т.5 опл. тр СТАЦИОНАР'!F24+'т.5 опл.Дневной стац. (2)'!F24+'т.5 опл. тр АМБУЛАТОРИЯ'!F24+'т.5 опл.Скорая'!F24</f>
        <v>0</v>
      </c>
      <c r="G23" s="159">
        <f>'т.5 опл. тр СТАЦИОНАР'!G24+'т.5 опл.Дневной стац. (2)'!G24+'т.5 опл. тр АМБУЛАТОРИЯ'!G24+'т.5 опл.Скорая'!G24</f>
        <v>0</v>
      </c>
      <c r="H23" s="159">
        <f>'т.5 опл. тр СТАЦИОНАР'!H24+'т.5 опл.Дневной стац. (2)'!H24+'т.5 опл. тр АМБУЛАТОРИЯ'!H24+'т.5 опл.Скорая'!H24</f>
        <v>0</v>
      </c>
      <c r="I23" s="159">
        <f>'т.5 опл. тр СТАЦИОНАР'!I24+'т.5 опл.Дневной стац. (2)'!I24+'т.5 опл. тр АМБУЛАТОРИЯ'!I24+'т.5 опл.Скорая'!I24</f>
        <v>0</v>
      </c>
      <c r="J23" s="130">
        <f>'т.5 опл. тр СТАЦИОНАР'!J24+'т.5 опл.Дневной стац. (2)'!J24+'т.5 опл. тр АМБУЛАТОРИЯ'!J24+'т.5 опл.Скорая'!J24</f>
        <v>0</v>
      </c>
      <c r="K23" s="159">
        <f>'т.5 опл. тр СТАЦИОНАР'!K24+'т.5 опл.Дневной стац. (2)'!K24+'т.5 опл. тр АМБУЛАТОРИЯ'!K24+'т.5 опл.Скорая'!K24</f>
        <v>0</v>
      </c>
      <c r="L23" s="159">
        <f>'т.5 опл. тр СТАЦИОНАР'!L24+'т.5 опл.Дневной стац. (2)'!L24+'т.5 опл. тр АМБУЛАТОРИЯ'!L24+'т.5 опл.Скорая'!L24</f>
        <v>0</v>
      </c>
      <c r="M23" s="130">
        <f>'т.5 опл. тр СТАЦИОНАР'!M24+'т.5 опл.Дневной стац. (2)'!M24+'т.5 опл. тр АМБУЛАТОРИЯ'!M24+'т.5 опл.Скорая'!M24</f>
        <v>0</v>
      </c>
      <c r="N23" s="159">
        <f>'т.5 опл. тр СТАЦИОНАР'!N24+'т.5 опл.Дневной стац. (2)'!N24+'т.5 опл. тр АМБУЛАТОРИЯ'!N24+'т.5 опл.Скорая'!N24</f>
        <v>0</v>
      </c>
      <c r="O23" s="159">
        <f>'т.5 опл. тр СТАЦИОНАР'!O24+'т.5 опл.Дневной стац. (2)'!O24+'т.5 опл. тр АМБУЛАТОРИЯ'!O24+'т.5 опл.Скорая'!O24</f>
        <v>0</v>
      </c>
      <c r="Q23" s="183">
        <f t="shared" si="0"/>
        <v>0</v>
      </c>
      <c r="R23" s="166" t="e">
        <f t="shared" si="1"/>
        <v>#DIV/0!</v>
      </c>
    </row>
    <row r="24" spans="1:18" ht="27.75" customHeight="1" x14ac:dyDescent="0.25">
      <c r="A24" s="13" t="s">
        <v>75</v>
      </c>
      <c r="B24" s="52" t="s">
        <v>93</v>
      </c>
      <c r="C24" s="130">
        <f>'т.5 опл. тр СТАЦИОНАР'!C25+'т.5 опл.Дневной стац. (2)'!C25+'т.5 опл. тр АМБУЛАТОРИЯ'!C25+'т.5 опл.Скорая'!C25</f>
        <v>0</v>
      </c>
      <c r="D24" s="130">
        <f>'т.5 опл. тр СТАЦИОНАР'!D25+'т.5 опл.Дневной стац. (2)'!D25+'т.5 опл. тр АМБУЛАТОРИЯ'!D25+'т.5 опл.Скорая'!D25</f>
        <v>0</v>
      </c>
      <c r="E24" s="159">
        <f>'т.5 опл. тр СТАЦИОНАР'!E25+'т.5 опл.Дневной стац. (2)'!E25+'т.5 опл. тр АМБУЛАТОРИЯ'!E25+'т.5 опл.Скорая'!E25</f>
        <v>0</v>
      </c>
      <c r="F24" s="159">
        <f>'т.5 опл. тр СТАЦИОНАР'!F25+'т.5 опл.Дневной стац. (2)'!F25+'т.5 опл. тр АМБУЛАТОРИЯ'!F25+'т.5 опл.Скорая'!F25</f>
        <v>0</v>
      </c>
      <c r="G24" s="159">
        <f>'т.5 опл. тр СТАЦИОНАР'!G25+'т.5 опл.Дневной стац. (2)'!G25+'т.5 опл. тр АМБУЛАТОРИЯ'!G25+'т.5 опл.Скорая'!G25</f>
        <v>0</v>
      </c>
      <c r="H24" s="159">
        <f>'т.5 опл. тр СТАЦИОНАР'!H25+'т.5 опл.Дневной стац. (2)'!H25+'т.5 опл. тр АМБУЛАТОРИЯ'!H25+'т.5 опл.Скорая'!H25</f>
        <v>0</v>
      </c>
      <c r="I24" s="159">
        <f>'т.5 опл. тр СТАЦИОНАР'!I25+'т.5 опл.Дневной стац. (2)'!I25+'т.5 опл. тр АМБУЛАТОРИЯ'!I25+'т.5 опл.Скорая'!I25</f>
        <v>0</v>
      </c>
      <c r="J24" s="130">
        <f>'т.5 опл. тр СТАЦИОНАР'!J25+'т.5 опл.Дневной стац. (2)'!J25+'т.5 опл. тр АМБУЛАТОРИЯ'!J25+'т.5 опл.Скорая'!J25</f>
        <v>0</v>
      </c>
      <c r="K24" s="159">
        <f>'т.5 опл. тр СТАЦИОНАР'!K25+'т.5 опл.Дневной стац. (2)'!K25+'т.5 опл. тр АМБУЛАТОРИЯ'!K25+'т.5 опл.Скорая'!K25</f>
        <v>0</v>
      </c>
      <c r="L24" s="159">
        <f>'т.5 опл. тр СТАЦИОНАР'!L25+'т.5 опл.Дневной стац. (2)'!L25+'т.5 опл. тр АМБУЛАТОРИЯ'!L25+'т.5 опл.Скорая'!L25</f>
        <v>0</v>
      </c>
      <c r="M24" s="130">
        <f>'т.5 опл. тр СТАЦИОНАР'!M25+'т.5 опл.Дневной стац. (2)'!M25+'т.5 опл. тр АМБУЛАТОРИЯ'!M25+'т.5 опл.Скорая'!M25</f>
        <v>0</v>
      </c>
      <c r="N24" s="159">
        <f>'т.5 опл. тр СТАЦИОНАР'!N25+'т.5 опл.Дневной стац. (2)'!N25+'т.5 опл. тр АМБУЛАТОРИЯ'!N25+'т.5 опл.Скорая'!N25</f>
        <v>0</v>
      </c>
      <c r="O24" s="159">
        <f>'т.5 опл. тр СТАЦИОНАР'!O25+'т.5 опл.Дневной стац. (2)'!O25+'т.5 опл. тр АМБУЛАТОРИЯ'!O25+'т.5 опл.Скорая'!O25</f>
        <v>0</v>
      </c>
      <c r="Q24" s="183">
        <f t="shared" si="0"/>
        <v>0</v>
      </c>
      <c r="R24" s="166" t="e">
        <f t="shared" si="1"/>
        <v>#DIV/0!</v>
      </c>
    </row>
    <row r="25" spans="1:18" ht="31.5" x14ac:dyDescent="0.25">
      <c r="A25" s="13"/>
      <c r="B25" s="52" t="s">
        <v>88</v>
      </c>
      <c r="C25" s="130">
        <f>'т.5 опл. тр СТАЦИОНАР'!C26+'т.5 опл.Дневной стац. (2)'!C26+'т.5 опл. тр АМБУЛАТОРИЯ'!C26+'т.5 опл.Скорая'!C26</f>
        <v>0</v>
      </c>
      <c r="D25" s="130">
        <f>'т.5 опл. тр СТАЦИОНАР'!D26+'т.5 опл.Дневной стац. (2)'!D26+'т.5 опл. тр АМБУЛАТОРИЯ'!D26+'т.5 опл.Скорая'!D26</f>
        <v>0</v>
      </c>
      <c r="E25" s="159">
        <f>'т.5 опл. тр СТАЦИОНАР'!E26+'т.5 опл.Дневной стац. (2)'!E26+'т.5 опл. тр АМБУЛАТОРИЯ'!E26+'т.5 опл.Скорая'!E26</f>
        <v>0</v>
      </c>
      <c r="F25" s="159">
        <f>'т.5 опл. тр СТАЦИОНАР'!F26+'т.5 опл.Дневной стац. (2)'!F26+'т.5 опл. тр АМБУЛАТОРИЯ'!F26+'т.5 опл.Скорая'!F26</f>
        <v>0</v>
      </c>
      <c r="G25" s="159">
        <f>'т.5 опл. тр СТАЦИОНАР'!G26+'т.5 опл.Дневной стац. (2)'!G26+'т.5 опл. тр АМБУЛАТОРИЯ'!G26+'т.5 опл.Скорая'!G26</f>
        <v>0</v>
      </c>
      <c r="H25" s="159">
        <f>'т.5 опл. тр СТАЦИОНАР'!H26+'т.5 опл.Дневной стац. (2)'!H26+'т.5 опл. тр АМБУЛАТОРИЯ'!H26+'т.5 опл.Скорая'!H26</f>
        <v>0</v>
      </c>
      <c r="I25" s="159">
        <f>'т.5 опл. тр СТАЦИОНАР'!I26+'т.5 опл.Дневной стац. (2)'!I26+'т.5 опл. тр АМБУЛАТОРИЯ'!I26+'т.5 опл.Скорая'!I26</f>
        <v>0</v>
      </c>
      <c r="J25" s="130">
        <f>'т.5 опл. тр СТАЦИОНАР'!J26+'т.5 опл.Дневной стац. (2)'!J26+'т.5 опл. тр АМБУЛАТОРИЯ'!J26+'т.5 опл.Скорая'!J26</f>
        <v>0</v>
      </c>
      <c r="K25" s="159">
        <f>'т.5 опл. тр СТАЦИОНАР'!K26+'т.5 опл.Дневной стац. (2)'!K26+'т.5 опл. тр АМБУЛАТОРИЯ'!K26+'т.5 опл.Скорая'!K26</f>
        <v>0</v>
      </c>
      <c r="L25" s="159">
        <f>'т.5 опл. тр СТАЦИОНАР'!L26+'т.5 опл.Дневной стац. (2)'!L26+'т.5 опл. тр АМБУЛАТОРИЯ'!L26+'т.5 опл.Скорая'!L26</f>
        <v>0</v>
      </c>
      <c r="M25" s="130">
        <f>'т.5 опл. тр СТАЦИОНАР'!M26+'т.5 опл.Дневной стац. (2)'!M26+'т.5 опл. тр АМБУЛАТОРИЯ'!M26+'т.5 опл.Скорая'!M26</f>
        <v>0</v>
      </c>
      <c r="N25" s="159">
        <f>'т.5 опл. тр СТАЦИОНАР'!N26+'т.5 опл.Дневной стац. (2)'!N26+'т.5 опл. тр АМБУЛАТОРИЯ'!N26+'т.5 опл.Скорая'!N26</f>
        <v>0</v>
      </c>
      <c r="O25" s="159">
        <f>'т.5 опл. тр СТАЦИОНАР'!O26+'т.5 опл.Дневной стац. (2)'!O26+'т.5 опл. тр АМБУЛАТОРИЯ'!O26+'т.5 опл.Скорая'!O26</f>
        <v>0</v>
      </c>
      <c r="Q25" s="183">
        <f t="shared" si="0"/>
        <v>0</v>
      </c>
      <c r="R25" s="166" t="e">
        <f t="shared" si="1"/>
        <v>#DIV/0!</v>
      </c>
    </row>
    <row r="26" spans="1:18" ht="29.25" customHeight="1" x14ac:dyDescent="0.25">
      <c r="A26" s="13" t="s">
        <v>76</v>
      </c>
      <c r="B26" s="52" t="s">
        <v>81</v>
      </c>
      <c r="C26" s="130">
        <f>'т.5 опл. тр СТАЦИОНАР'!C27+'т.5 опл.Дневной стац. (2)'!C27+'т.5 опл. тр АМБУЛАТОРИЯ'!C27+'т.5 опл.Скорая'!C27</f>
        <v>5.5</v>
      </c>
      <c r="D26" s="130">
        <f>'т.5 опл. тр СТАЦИОНАР'!D27+'т.5 опл.Дневной стац. (2)'!D27+'т.5 опл. тр АМБУЛАТОРИЯ'!D27+'т.5 опл.Скорая'!D27</f>
        <v>0</v>
      </c>
      <c r="E26" s="159">
        <f>'т.5 опл. тр СТАЦИОНАР'!E27+'т.5 опл.Дневной стац. (2)'!E27+'т.5 опл. тр АМБУЛАТОРИЯ'!E27+'т.5 опл.Скорая'!E27</f>
        <v>0</v>
      </c>
      <c r="F26" s="159">
        <f>'т.5 опл. тр СТАЦИОНАР'!F27+'т.5 опл.Дневной стац. (2)'!F27+'т.5 опл. тр АМБУЛАТОРИЯ'!F27+'т.5 опл.Скорая'!F27</f>
        <v>0</v>
      </c>
      <c r="G26" s="159">
        <f>'т.5 опл. тр СТАЦИОНАР'!G27+'т.5 опл.Дневной стац. (2)'!G27+'т.5 опл. тр АМБУЛАТОРИЯ'!G27+'т.5 опл.Скорая'!G27</f>
        <v>0</v>
      </c>
      <c r="H26" s="159">
        <f>'т.5 опл. тр СТАЦИОНАР'!H27+'т.5 опл.Дневной стац. (2)'!H27+'т.5 опл. тр АМБУЛАТОРИЯ'!H27+'т.5 опл.Скорая'!H27</f>
        <v>0</v>
      </c>
      <c r="I26" s="159">
        <f>'т.5 опл. тр СТАЦИОНАР'!I27+'т.5 опл.Дневной стац. (2)'!I27+'т.5 опл. тр АМБУЛАТОРИЯ'!I27+'т.5 опл.Скорая'!I27</f>
        <v>0</v>
      </c>
      <c r="J26" s="130">
        <f>'т.5 опл. тр СТАЦИОНАР'!J27+'т.5 опл.Дневной стац. (2)'!J27+'т.5 опл. тр АМБУЛАТОРИЯ'!J27+'т.5 опл.Скорая'!J27</f>
        <v>0</v>
      </c>
      <c r="K26" s="159">
        <f>'т.5 опл. тр СТАЦИОНАР'!K27+'т.5 опл.Дневной стац. (2)'!K27+'т.5 опл. тр АМБУЛАТОРИЯ'!K27+'т.5 опл.Скорая'!K27</f>
        <v>0</v>
      </c>
      <c r="L26" s="159">
        <f>'т.5 опл. тр СТАЦИОНАР'!L27+'т.5 опл.Дневной стац. (2)'!L27+'т.5 опл. тр АМБУЛАТОРИЯ'!L27+'т.5 опл.Скорая'!L27</f>
        <v>0</v>
      </c>
      <c r="M26" s="130">
        <f>'т.5 опл. тр СТАЦИОНАР'!M27+'т.5 опл.Дневной стац. (2)'!M27+'т.5 опл. тр АМБУЛАТОРИЯ'!M27+'т.5 опл.Скорая'!M27</f>
        <v>2445.1</v>
      </c>
      <c r="N26" s="159">
        <f>'т.5 опл. тр СТАЦИОНАР'!N27+'т.5 опл.Дневной стац. (2)'!N27+'т.5 опл. тр АМБУЛАТОРИЯ'!N27+'т.5 опл.Скорая'!N27</f>
        <v>705.3</v>
      </c>
      <c r="O26" s="159">
        <f>'т.5 опл. тр СТАЦИОНАР'!O27+'т.5 опл.Дневной стац. (2)'!O27+'т.5 опл. тр АМБУЛАТОРИЯ'!O27+'т.5 опл.Скорая'!O27</f>
        <v>1739.8</v>
      </c>
      <c r="Q26" s="184">
        <f t="shared" si="0"/>
        <v>2445.1</v>
      </c>
      <c r="R26" s="185">
        <f t="shared" si="1"/>
        <v>37046.97</v>
      </c>
    </row>
    <row r="27" spans="1:18" ht="31.5" x14ac:dyDescent="0.25">
      <c r="A27" s="13"/>
      <c r="B27" s="52" t="s">
        <v>88</v>
      </c>
      <c r="C27" s="130">
        <f>'т.5 опл. тр СТАЦИОНАР'!C28+'т.5 опл.Дневной стац. (2)'!C28+'т.5 опл. тр АМБУЛАТОРИЯ'!C28+'т.5 опл.Скорая'!C28</f>
        <v>5.5</v>
      </c>
      <c r="D27" s="130">
        <f>'т.5 опл. тр СТАЦИОНАР'!D28+'т.5 опл.Дневной стац. (2)'!D28+'т.5 опл. тр АМБУЛАТОРИЯ'!D28+'т.5 опл.Скорая'!D28</f>
        <v>0</v>
      </c>
      <c r="E27" s="159">
        <f>'т.5 опл. тр СТАЦИОНАР'!E28+'т.5 опл.Дневной стац. (2)'!E28+'т.5 опл. тр АМБУЛАТОРИЯ'!E28+'т.5 опл.Скорая'!E28</f>
        <v>0</v>
      </c>
      <c r="F27" s="159">
        <f>'т.5 опл. тр СТАЦИОНАР'!F28+'т.5 опл.Дневной стац. (2)'!F28+'т.5 опл. тр АМБУЛАТОРИЯ'!F28+'т.5 опл.Скорая'!F28</f>
        <v>0</v>
      </c>
      <c r="G27" s="159">
        <f>'т.5 опл. тр СТАЦИОНАР'!G28+'т.5 опл.Дневной стац. (2)'!G28+'т.5 опл. тр АМБУЛАТОРИЯ'!G28+'т.5 опл.Скорая'!G28</f>
        <v>0</v>
      </c>
      <c r="H27" s="159">
        <f>'т.5 опл. тр СТАЦИОНАР'!H28+'т.5 опл.Дневной стац. (2)'!H28+'т.5 опл. тр АМБУЛАТОРИЯ'!H28+'т.5 опл.Скорая'!H28</f>
        <v>0</v>
      </c>
      <c r="I27" s="159">
        <f>'т.5 опл. тр СТАЦИОНАР'!I28+'т.5 опл.Дневной стац. (2)'!I28+'т.5 опл. тр АМБУЛАТОРИЯ'!I28+'т.5 опл.Скорая'!I28</f>
        <v>0</v>
      </c>
      <c r="J27" s="130">
        <f>'т.5 опл. тр СТАЦИОНАР'!J28+'т.5 опл.Дневной стац. (2)'!J28+'т.5 опл. тр АМБУЛАТОРИЯ'!J28+'т.5 опл.Скорая'!J28</f>
        <v>0</v>
      </c>
      <c r="K27" s="159">
        <f>'т.5 опл. тр СТАЦИОНАР'!K28+'т.5 опл.Дневной стац. (2)'!K28+'т.5 опл. тр АМБУЛАТОРИЯ'!K28+'т.5 опл.Скорая'!K28</f>
        <v>0</v>
      </c>
      <c r="L27" s="159">
        <f>'т.5 опл. тр СТАЦИОНАР'!L28+'т.5 опл.Дневной стац. (2)'!L28+'т.5 опл. тр АМБУЛАТОРИЯ'!L28+'т.5 опл.Скорая'!L28</f>
        <v>0</v>
      </c>
      <c r="M27" s="130">
        <f>'т.5 опл. тр СТАЦИОНАР'!M28+'т.5 опл.Дневной стац. (2)'!M28+'т.5 опл. тр АМБУЛАТОРИЯ'!M28+'т.5 опл.Скорая'!M28</f>
        <v>2445.1</v>
      </c>
      <c r="N27" s="159">
        <f>'т.5 опл. тр СТАЦИОНАР'!N28+'т.5 опл.Дневной стац. (2)'!N28+'т.5 опл. тр АМБУЛАТОРИЯ'!N28+'т.5 опл.Скорая'!N28</f>
        <v>705.3</v>
      </c>
      <c r="O27" s="159">
        <f>'т.5 опл. тр СТАЦИОНАР'!O28+'т.5 опл.Дневной стац. (2)'!O28+'т.5 опл. тр АМБУЛАТОРИЯ'!O28+'т.5 опл.Скорая'!O28</f>
        <v>1739.8</v>
      </c>
      <c r="Q27" s="184">
        <f t="shared" si="0"/>
        <v>2445.1</v>
      </c>
      <c r="R27" s="185">
        <f t="shared" si="1"/>
        <v>37046.97</v>
      </c>
    </row>
    <row r="28" spans="1:18" ht="30.75" customHeight="1" x14ac:dyDescent="0.25">
      <c r="A28" s="13" t="s">
        <v>77</v>
      </c>
      <c r="B28" s="51" t="s">
        <v>82</v>
      </c>
      <c r="C28" s="130">
        <f>'т.5 опл. тр СТАЦИОНАР'!C29+'т.5 опл.Дневной стац. (2)'!C29+'т.5 опл. тр АМБУЛАТОРИЯ'!C29+'т.5 опл.Скорая'!C29</f>
        <v>1</v>
      </c>
      <c r="D28" s="130">
        <f>'т.5 опл. тр СТАЦИОНАР'!D29+'т.5 опл.Дневной стац. (2)'!D29+'т.5 опл. тр АМБУЛАТОРИЯ'!D29+'т.5 опл.Скорая'!D29</f>
        <v>0</v>
      </c>
      <c r="E28" s="159">
        <f>'т.5 опл. тр СТАЦИОНАР'!E29+'т.5 опл.Дневной стац. (2)'!E29+'т.5 опл. тр АМБУЛАТОРИЯ'!E29+'т.5 опл.Скорая'!E29</f>
        <v>0</v>
      </c>
      <c r="F28" s="159">
        <f>'т.5 опл. тр СТАЦИОНАР'!F29+'т.5 опл.Дневной стац. (2)'!F29+'т.5 опл. тр АМБУЛАТОРИЯ'!F29+'т.5 опл.Скорая'!F29</f>
        <v>0</v>
      </c>
      <c r="G28" s="159">
        <f>'т.5 опл. тр СТАЦИОНАР'!G29+'т.5 опл.Дневной стац. (2)'!G29+'т.5 опл. тр АМБУЛАТОРИЯ'!G29+'т.5 опл.Скорая'!G29</f>
        <v>0</v>
      </c>
      <c r="H28" s="159">
        <f>'т.5 опл. тр СТАЦИОНАР'!H29+'т.5 опл.Дневной стац. (2)'!H29+'т.5 опл. тр АМБУЛАТОРИЯ'!H29+'т.5 опл.Скорая'!H29</f>
        <v>0</v>
      </c>
      <c r="I28" s="159">
        <f>'т.5 опл. тр СТАЦИОНАР'!I29+'т.5 опл.Дневной стац. (2)'!I29+'т.5 опл. тр АМБУЛАТОРИЯ'!I29+'т.5 опл.Скорая'!I29</f>
        <v>0</v>
      </c>
      <c r="J28" s="130">
        <f>'т.5 опл. тр СТАЦИОНАР'!J29+'т.5 опл.Дневной стац. (2)'!J29+'т.5 опл. тр АМБУЛАТОРИЯ'!J29+'т.5 опл.Скорая'!J29</f>
        <v>0</v>
      </c>
      <c r="K28" s="159">
        <f>'т.5 опл. тр СТАЦИОНАР'!K29+'т.5 опл.Дневной стац. (2)'!K29+'т.5 опл. тр АМБУЛАТОРИЯ'!K29+'т.5 опл.Скорая'!K29</f>
        <v>0</v>
      </c>
      <c r="L28" s="159">
        <f>'т.5 опл. тр СТАЦИОНАР'!L29+'т.5 опл.Дневной стац. (2)'!L29+'т.5 опл. тр АМБУЛАТОРИЯ'!L29+'т.5 опл.Скорая'!L29</f>
        <v>0</v>
      </c>
      <c r="M28" s="130">
        <f>'т.5 опл. тр СТАЦИОНАР'!M29+'т.5 опл.Дневной стац. (2)'!M29+'т.5 опл. тр АМБУЛАТОРИЯ'!M29+'т.5 опл.Скорая'!M29</f>
        <v>1079.4000000000001</v>
      </c>
      <c r="N28" s="159">
        <f>'т.5 опл. тр СТАЦИОНАР'!N29+'т.5 опл.Дневной стац. (2)'!N29+'т.5 опл. тр АМБУЛАТОРИЯ'!N29+'т.5 опл.Скорая'!N29</f>
        <v>415.3</v>
      </c>
      <c r="O28" s="159">
        <f>'т.5 опл. тр СТАЦИОНАР'!O29+'т.5 опл.Дневной стац. (2)'!O29+'т.5 опл. тр АМБУЛАТОРИЯ'!O29+'т.5 опл.Скорая'!O29</f>
        <v>664.1</v>
      </c>
      <c r="Q28" s="183">
        <f t="shared" si="0"/>
        <v>1079.4000000000001</v>
      </c>
      <c r="R28" s="166">
        <f t="shared" si="1"/>
        <v>89950</v>
      </c>
    </row>
    <row r="29" spans="1:18" ht="33.75" customHeight="1" x14ac:dyDescent="0.25">
      <c r="A29" s="13" t="s">
        <v>78</v>
      </c>
      <c r="B29" s="51" t="s">
        <v>83</v>
      </c>
      <c r="C29" s="130">
        <f>'т.5 опл. тр СТАЦИОНАР'!C30+'т.5 опл.Дневной стац. (2)'!C30+'т.5 опл. тр АМБУЛАТОРИЯ'!C30+'т.5 опл.Скорая'!C30</f>
        <v>2</v>
      </c>
      <c r="D29" s="130">
        <f>'т.5 опл. тр СТАЦИОНАР'!D30+'т.5 опл.Дневной стац. (2)'!D30+'т.5 опл. тр АМБУЛАТОРИЯ'!D30+'т.5 опл.Скорая'!D30</f>
        <v>0</v>
      </c>
      <c r="E29" s="159">
        <f>'т.5 опл. тр СТАЦИОНАР'!E30+'т.5 опл.Дневной стац. (2)'!E30+'т.5 опл. тр АМБУЛАТОРИЯ'!E30+'т.5 опл.Скорая'!E30</f>
        <v>0</v>
      </c>
      <c r="F29" s="159">
        <f>'т.5 опл. тр СТАЦИОНАР'!F30+'т.5 опл.Дневной стац. (2)'!F30+'т.5 опл. тр АМБУЛАТОРИЯ'!F30+'т.5 опл.Скорая'!F30</f>
        <v>0</v>
      </c>
      <c r="G29" s="159">
        <f>'т.5 опл. тр СТАЦИОНАР'!G30+'т.5 опл.Дневной стац. (2)'!G30+'т.5 опл. тр АМБУЛАТОРИЯ'!G30+'т.5 опл.Скорая'!G30</f>
        <v>0</v>
      </c>
      <c r="H29" s="159">
        <f>'т.5 опл. тр СТАЦИОНАР'!H30+'т.5 опл.Дневной стац. (2)'!H30+'т.5 опл. тр АМБУЛАТОРИЯ'!H30+'т.5 опл.Скорая'!H30</f>
        <v>0</v>
      </c>
      <c r="I29" s="159">
        <f>'т.5 опл. тр СТАЦИОНАР'!I30+'т.5 опл.Дневной стац. (2)'!I30+'т.5 опл. тр АМБУЛАТОРИЯ'!I30+'т.5 опл.Скорая'!I30</f>
        <v>0</v>
      </c>
      <c r="J29" s="130">
        <f>'т.5 опл. тр СТАЦИОНАР'!J30+'т.5 опл.Дневной стац. (2)'!J30+'т.5 опл. тр АМБУЛАТОРИЯ'!J30+'т.5 опл.Скорая'!J30</f>
        <v>0</v>
      </c>
      <c r="K29" s="159">
        <f>'т.5 опл. тр СТАЦИОНАР'!K30+'т.5 опл.Дневной стац. (2)'!K30+'т.5 опл. тр АМБУЛАТОРИЯ'!K30+'т.5 опл.Скорая'!K30</f>
        <v>0</v>
      </c>
      <c r="L29" s="159">
        <f>'т.5 опл. тр СТАЦИОНАР'!L30+'т.5 опл.Дневной стац. (2)'!L30+'т.5 опл. тр АМБУЛАТОРИЯ'!L30+'т.5 опл.Скорая'!L30</f>
        <v>0</v>
      </c>
      <c r="M29" s="130">
        <f>'т.5 опл. тр СТАЦИОНАР'!M30+'т.5 опл.Дневной стац. (2)'!M30+'т.5 опл. тр АМБУЛАТОРИЯ'!M30+'т.5 опл.Скорая'!M30</f>
        <v>1256.4000000000001</v>
      </c>
      <c r="N29" s="159">
        <f>'т.5 опл. тр СТАЦИОНАР'!N30+'т.5 опл.Дневной стац. (2)'!N30+'т.5 опл. тр АМБУЛАТОРИЯ'!N30+'т.5 опл.Скорая'!N30</f>
        <v>552.4</v>
      </c>
      <c r="O29" s="159">
        <f>'т.5 опл. тр СТАЦИОНАР'!O30+'т.5 опл.Дневной стац. (2)'!O30+'т.5 опл. тр АМБУЛАТОРИЯ'!O30+'т.5 опл.Скорая'!O30</f>
        <v>704</v>
      </c>
      <c r="Q29" s="183">
        <f t="shared" si="0"/>
        <v>1256.4000000000001</v>
      </c>
      <c r="R29" s="166">
        <f t="shared" si="1"/>
        <v>52350</v>
      </c>
    </row>
    <row r="30" spans="1:18" ht="27" customHeight="1" x14ac:dyDescent="0.25">
      <c r="A30" s="13" t="s">
        <v>79</v>
      </c>
      <c r="B30" s="51" t="s">
        <v>84</v>
      </c>
      <c r="C30" s="130">
        <f>'т.5 опл. тр СТАЦИОНАР'!C31+'т.5 опл.Дневной стац. (2)'!C31+'т.5 опл. тр АМБУЛАТОРИЯ'!C31+'т.5 опл.Скорая'!C31</f>
        <v>46</v>
      </c>
      <c r="D30" s="130">
        <f>'т.5 опл. тр СТАЦИОНАР'!D31+'т.5 опл.Дневной стац. (2)'!D31+'т.5 опл. тр АМБУЛАТОРИЯ'!D31+'т.5 опл.Скорая'!D31</f>
        <v>134.80000000000001</v>
      </c>
      <c r="E30" s="159">
        <f>'т.5 опл. тр СТАЦИОНАР'!E31+'т.5 опл.Дневной стац. (2)'!E31+'т.5 опл. тр АМБУЛАТОРИЯ'!E31+'т.5 опл.Скорая'!E31</f>
        <v>114.4</v>
      </c>
      <c r="F30" s="159">
        <f>'т.5 опл. тр СТАЦИОНАР'!F31+'т.5 опл.Дневной стац. (2)'!F31+'т.5 опл. тр АМБУЛАТОРИЯ'!F31+'т.5 опл.Скорая'!F31</f>
        <v>20.399999999999999</v>
      </c>
      <c r="G30" s="159">
        <f>'т.5 опл. тр СТАЦИОНАР'!G31+'т.5 опл.Дневной стац. (2)'!G31+'т.5 опл. тр АМБУЛАТОРИЯ'!G31+'т.5 опл.Скорая'!G31</f>
        <v>0</v>
      </c>
      <c r="H30" s="159">
        <f>'т.5 опл. тр СТАЦИОНАР'!H31+'т.5 опл.Дневной стац. (2)'!H31+'т.5 опл. тр АМБУЛАТОРИЯ'!H31+'т.5 опл.Скорая'!H31</f>
        <v>0</v>
      </c>
      <c r="I30" s="159">
        <f>'т.5 опл. тр СТАЦИОНАР'!I31+'т.5 опл.Дневной стац. (2)'!I31+'т.5 опл. тр АМБУЛАТОРИЯ'!I31+'т.5 опл.Скорая'!I31</f>
        <v>0</v>
      </c>
      <c r="J30" s="130">
        <f>'т.5 опл. тр СТАЦИОНАР'!J31+'т.5 опл.Дневной стац. (2)'!J31+'т.5 опл. тр АМБУЛАТОРИЯ'!J31+'т.5 опл.Скорая'!J31</f>
        <v>2552.8000000000002</v>
      </c>
      <c r="K30" s="159">
        <f>'т.5 опл. тр СТАЦИОНАР'!K31+'т.5 опл.Дневной стац. (2)'!K31+'т.5 опл. тр АМБУЛАТОРИЯ'!K31+'т.5 опл.Скорая'!K31</f>
        <v>1139.8</v>
      </c>
      <c r="L30" s="159">
        <f>'т.5 опл. тр СТАЦИОНАР'!L31+'т.5 опл.Дневной стац. (2)'!L31+'т.5 опл. тр АМБУЛАТОРИЯ'!L31+'т.5 опл.Скорая'!L31</f>
        <v>1413</v>
      </c>
      <c r="M30" s="130">
        <f>'т.5 опл. тр СТАЦИОНАР'!M31+'т.5 опл.Дневной стац. (2)'!M31+'т.5 опл. тр АМБУЛАТОРИЯ'!M31+'т.5 опл.Скорая'!M31</f>
        <v>8268.1</v>
      </c>
      <c r="N30" s="159">
        <f>'т.5 опл. тр СТАЦИОНАР'!N31+'т.5 опл.Дневной стац. (2)'!N31+'т.5 опл. тр АМБУЛАТОРИЯ'!N31+'т.5 опл.Скорая'!N31</f>
        <v>3273.1</v>
      </c>
      <c r="O30" s="159">
        <f>'т.5 опл. тр СТАЦИОНАР'!O31+'т.5 опл.Дневной стац. (2)'!O31+'т.5 опл. тр АМБУЛАТОРИЯ'!O31+'т.5 опл.Скорая'!O31</f>
        <v>4995</v>
      </c>
      <c r="Q30" s="183">
        <f t="shared" si="0"/>
        <v>10955.7</v>
      </c>
      <c r="R30" s="166">
        <f t="shared" si="1"/>
        <v>19847.28</v>
      </c>
    </row>
    <row r="31" spans="1:18" ht="31.5" x14ac:dyDescent="0.25">
      <c r="A31" s="13"/>
      <c r="B31" s="52" t="s">
        <v>88</v>
      </c>
      <c r="C31" s="130">
        <f>'т.5 опл. тр СТАЦИОНАР'!C32+'т.5 опл.Дневной стац. (2)'!C32+'т.5 опл. тр АМБУЛАТОРИЯ'!C32+'т.5 опл.Скорая'!C32</f>
        <v>38</v>
      </c>
      <c r="D31" s="130">
        <f>'т.5 опл. тр СТАЦИОНАР'!D32+'т.5 опл.Дневной стац. (2)'!D32+'т.5 опл. тр АМБУЛАТОРИЯ'!D32+'т.5 опл.Скорая'!D32</f>
        <v>134.80000000000001</v>
      </c>
      <c r="E31" s="159">
        <f>'т.5 опл. тр СТАЦИОНАР'!E32+'т.5 опл.Дневной стац. (2)'!E32+'т.5 опл. тр АМБУЛАТОРИЯ'!E32+'т.5 опл.Скорая'!E32</f>
        <v>114.4</v>
      </c>
      <c r="F31" s="159">
        <f>'т.5 опл. тр СТАЦИОНАР'!F32+'т.5 опл.Дневной стац. (2)'!F32+'т.5 опл. тр АМБУЛАТОРИЯ'!F32+'т.5 опл.Скорая'!F32</f>
        <v>20.399999999999999</v>
      </c>
      <c r="G31" s="159">
        <f>'т.5 опл. тр СТАЦИОНАР'!G32+'т.5 опл.Дневной стац. (2)'!G32+'т.5 опл. тр АМБУЛАТОРИЯ'!G32+'т.5 опл.Скорая'!G32</f>
        <v>0</v>
      </c>
      <c r="H31" s="159">
        <f>'т.5 опл. тр СТАЦИОНАР'!H32+'т.5 опл.Дневной стац. (2)'!H32+'т.5 опл. тр АМБУЛАТОРИЯ'!H32+'т.5 опл.Скорая'!H32</f>
        <v>0</v>
      </c>
      <c r="I31" s="159">
        <f>'т.5 опл. тр СТАЦИОНАР'!I32+'т.5 опл.Дневной стац. (2)'!I32+'т.5 опл. тр АМБУЛАТОРИЯ'!I32+'т.5 опл.Скорая'!I32</f>
        <v>0</v>
      </c>
      <c r="J31" s="130">
        <f>'т.5 опл. тр СТАЦИОНАР'!J32+'т.5 опл.Дневной стац. (2)'!J32+'т.5 опл. тр АМБУЛАТОРИЯ'!J32+'т.5 опл.Скорая'!J32</f>
        <v>2552.8000000000002</v>
      </c>
      <c r="K31" s="159">
        <f>'т.5 опл. тр СТАЦИОНАР'!K32+'т.5 опл.Дневной стац. (2)'!K32+'т.5 опл. тр АМБУЛАТОРИЯ'!K32+'т.5 опл.Скорая'!K32</f>
        <v>1139.8</v>
      </c>
      <c r="L31" s="159">
        <f>'т.5 опл. тр СТАЦИОНАР'!L32+'т.5 опл.Дневной стац. (2)'!L32+'т.5 опл. тр АМБУЛАТОРИЯ'!L32+'т.5 опл.Скорая'!L32</f>
        <v>1413</v>
      </c>
      <c r="M31" s="130">
        <f>'т.5 опл. тр СТАЦИОНАР'!M32+'т.5 опл.Дневной стац. (2)'!M32+'т.5 опл. тр АМБУЛАТОРИЯ'!M32+'т.5 опл.Скорая'!M32</f>
        <v>6498.1</v>
      </c>
      <c r="N31" s="159">
        <f>'т.5 опл. тр СТАЦИОНАР'!N32+'т.5 опл.Дневной стац. (2)'!N32+'т.5 опл. тр АМБУЛАТОРИЯ'!N32+'т.5 опл.Скорая'!N32</f>
        <v>2709.3</v>
      </c>
      <c r="O31" s="159">
        <f>'т.5 опл. тр СТАЦИОНАР'!O32+'т.5 опл.Дневной стац. (2)'!O32+'т.5 опл. тр АМБУЛАТОРИЯ'!O32+'т.5 опл.Скорая'!O32</f>
        <v>3788.8</v>
      </c>
      <c r="Q31" s="183">
        <f t="shared" si="0"/>
        <v>9185.7000000000007</v>
      </c>
      <c r="R31" s="166">
        <f t="shared" si="1"/>
        <v>20144.080000000002</v>
      </c>
    </row>
    <row r="32" spans="1:18" ht="28.5" customHeight="1" x14ac:dyDescent="0.25">
      <c r="A32" s="13" t="s">
        <v>19</v>
      </c>
      <c r="B32" s="51" t="s">
        <v>92</v>
      </c>
      <c r="C32" s="130">
        <f>'т.5 опл. тр СТАЦИОНАР'!C33+'т.5 опл.Дневной стац. (2)'!C33+'т.5 опл. тр АМБУЛАТОРИЯ'!C33+'т.5 опл.Скорая'!C33</f>
        <v>11</v>
      </c>
      <c r="D32" s="130">
        <f>'т.5 опл. тр СТАЦИОНАР'!D33+'т.5 опл.Дневной стац. (2)'!D33+'т.5 опл. тр АМБУЛАТОРИЯ'!D33+'т.5 опл.Скорая'!D33</f>
        <v>130</v>
      </c>
      <c r="E32" s="159">
        <f>'т.5 опл. тр СТАЦИОНАР'!E33+'т.5 опл.Дневной стац. (2)'!E33+'т.5 опл. тр АМБУЛАТОРИЯ'!E33+'т.5 опл.Скорая'!E33</f>
        <v>86.7</v>
      </c>
      <c r="F32" s="159">
        <f>'т.5 опл. тр СТАЦИОНАР'!F33+'т.5 опл.Дневной стац. (2)'!F33+'т.5 опл. тр АМБУЛАТОРИЯ'!F33+'т.5 опл.Скорая'!F33</f>
        <v>43.3</v>
      </c>
      <c r="G32" s="159">
        <f>'т.5 опл. тр СТАЦИОНАР'!G33+'т.5 опл.Дневной стац. (2)'!G33+'т.5 опл. тр АМБУЛАТОРИЯ'!G33+'т.5 опл.Скорая'!G33</f>
        <v>0</v>
      </c>
      <c r="H32" s="159">
        <f>'т.5 опл. тр СТАЦИОНАР'!H33+'т.5 опл.Дневной стац. (2)'!H33+'т.5 опл. тр АМБУЛАТОРИЯ'!H33+'т.5 опл.Скорая'!H33</f>
        <v>0</v>
      </c>
      <c r="I32" s="159">
        <f>'т.5 опл. тр СТАЦИОНАР'!I33+'т.5 опл.Дневной стац. (2)'!I33+'т.5 опл. тр АМБУЛАТОРИЯ'!I33+'т.5 опл.Скорая'!I33</f>
        <v>0</v>
      </c>
      <c r="J32" s="130">
        <f>'т.5 опл. тр СТАЦИОНАР'!J33+'т.5 опл.Дневной стац. (2)'!J33+'т.5 опл. тр АМБУЛАТОРИЯ'!J33+'т.5 опл.Скорая'!J33</f>
        <v>300</v>
      </c>
      <c r="K32" s="159">
        <f>'т.5 опл. тр СТАЦИОНАР'!K33+'т.5 опл.Дневной стац. (2)'!K33+'т.5 опл. тр АМБУЛАТОРИЯ'!K33+'т.5 опл.Скорая'!K33</f>
        <v>0</v>
      </c>
      <c r="L32" s="159">
        <f>'т.5 опл. тр СТАЦИОНАР'!L33+'т.5 опл.Дневной стац. (2)'!L33+'т.5 опл. тр АМБУЛАТОРИЯ'!L33+'т.5 опл.Скорая'!L33</f>
        <v>300</v>
      </c>
      <c r="M32" s="130">
        <f>'т.5 опл. тр СТАЦИОНАР'!M33+'т.5 опл.Дневной стац. (2)'!M33+'т.5 опл. тр АМБУЛАТОРИЯ'!M33+'т.5 опл.Скорая'!M33</f>
        <v>3315.7</v>
      </c>
      <c r="N32" s="159">
        <f>'т.5 опл. тр СТАЦИОНАР'!N33+'т.5 опл.Дневной стац. (2)'!N33+'т.5 опл. тр АМБУЛАТОРИЯ'!N33+'т.5 опл.Скорая'!N33</f>
        <v>1134.0999999999999</v>
      </c>
      <c r="O32" s="159">
        <f>'т.5 опл. тр СТАЦИОНАР'!O33+'т.5 опл.Дневной стац. (2)'!O33+'т.5 опл. тр АМБУЛАТОРИЯ'!O33+'т.5 опл.Скорая'!O33</f>
        <v>2181.6</v>
      </c>
      <c r="Q32" s="183">
        <f t="shared" si="0"/>
        <v>3745.7</v>
      </c>
      <c r="R32" s="166">
        <f t="shared" si="1"/>
        <v>28376.52</v>
      </c>
    </row>
    <row r="33" spans="1:15" ht="62.25" customHeight="1" x14ac:dyDescent="0.25">
      <c r="A33" s="13" t="s">
        <v>20</v>
      </c>
      <c r="B33" s="51" t="s">
        <v>91</v>
      </c>
      <c r="C33" s="130">
        <f>'т.5 опл. тр СТАЦИОНАР'!C34+'т.5 опл.Дневной стац. (2)'!C34+'т.5 опл. тр АМБУЛАТОРИЯ'!C34+'т.5 опл.Скорая'!C34</f>
        <v>0</v>
      </c>
      <c r="D33" s="130">
        <f>'т.5 опл. тр СТАЦИОНАР'!D34+'т.5 опл.Дневной стац. (2)'!D34+'т.5 опл. тр АМБУЛАТОРИЯ'!D34+'т.5 опл.Скорая'!D34</f>
        <v>0</v>
      </c>
      <c r="E33" s="159">
        <f>'т.5 опл. тр СТАЦИОНАР'!E34+'т.5 опл.Дневной стац. (2)'!E34+'т.5 опл. тр АМБУЛАТОРИЯ'!E34+'т.5 опл.Скорая'!E34</f>
        <v>0</v>
      </c>
      <c r="F33" s="159">
        <f>'т.5 опл. тр СТАЦИОНАР'!F34+'т.5 опл.Дневной стац. (2)'!F34+'т.5 опл. тр АМБУЛАТОРИЯ'!F34+'т.5 опл.Скорая'!F34</f>
        <v>0</v>
      </c>
      <c r="G33" s="159">
        <f>'т.5 опл. тр СТАЦИОНАР'!G34+'т.5 опл.Дневной стац. (2)'!G34+'т.5 опл. тр АМБУЛАТОРИЯ'!G34+'т.5 опл.Скорая'!G34</f>
        <v>0</v>
      </c>
      <c r="H33" s="159">
        <f>'т.5 опл. тр СТАЦИОНАР'!H34+'т.5 опл.Дневной стац. (2)'!H34+'т.5 опл. тр АМБУЛАТОРИЯ'!H34+'т.5 опл.Скорая'!H34</f>
        <v>0</v>
      </c>
      <c r="I33" s="159">
        <f>'т.5 опл. тр СТАЦИОНАР'!I34+'т.5 опл.Дневной стац. (2)'!I34+'т.5 опл. тр АМБУЛАТОРИЯ'!I34+'т.5 опл.Скорая'!I34</f>
        <v>0</v>
      </c>
      <c r="J33" s="130">
        <f>'т.5 опл. тр СТАЦИОНАР'!J34+'т.5 опл.Дневной стац. (2)'!J34+'т.5 опл. тр АМБУЛАТОРИЯ'!J34+'т.5 опл.Скорая'!J34</f>
        <v>0</v>
      </c>
      <c r="K33" s="159">
        <f>'т.5 опл. тр СТАЦИОНАР'!K34+'т.5 опл.Дневной стац. (2)'!K34+'т.5 опл. тр АМБУЛАТОРИЯ'!K34+'т.5 опл.Скорая'!K34</f>
        <v>0</v>
      </c>
      <c r="L33" s="159">
        <f>'т.5 опл. тр СТАЦИОНАР'!L34+'т.5 опл.Дневной стац. (2)'!L34+'т.5 опл. тр АМБУЛАТОРИЯ'!L34+'т.5 опл.Скорая'!L34</f>
        <v>0</v>
      </c>
      <c r="M33" s="130" t="s">
        <v>61</v>
      </c>
      <c r="N33" s="130" t="s">
        <v>61</v>
      </c>
      <c r="O33" s="130" t="s">
        <v>61</v>
      </c>
    </row>
    <row r="34" spans="1:15" ht="47.25" x14ac:dyDescent="0.25">
      <c r="A34" s="13" t="s">
        <v>21</v>
      </c>
      <c r="B34" s="51" t="s">
        <v>90</v>
      </c>
      <c r="C34" s="130">
        <f>'т.5 опл. тр СТАЦИОНАР'!C35+'т.5 опл.Дневной стац. (2)'!C35+'т.5 опл. тр АМБУЛАТОРИЯ'!C35+'т.5 опл.Скорая'!C35</f>
        <v>8</v>
      </c>
      <c r="D34" s="130" t="s">
        <v>61</v>
      </c>
      <c r="E34" s="130" t="s">
        <v>61</v>
      </c>
      <c r="F34" s="130" t="s">
        <v>61</v>
      </c>
      <c r="G34" s="130" t="s">
        <v>61</v>
      </c>
      <c r="H34" s="130" t="s">
        <v>61</v>
      </c>
      <c r="I34" s="130" t="s">
        <v>61</v>
      </c>
      <c r="J34" s="130">
        <f>'т.5 опл. тр СТАЦИОНАР'!J35+'т.5 опл.Дневной стац. (2)'!J35+'т.5 опл. тр АМБУЛАТОРИЯ'!J35+'т.5 опл.Скорая'!J35</f>
        <v>1880</v>
      </c>
      <c r="K34" s="159">
        <f>'т.5 опл. тр СТАЦИОНАР'!K35+'т.5 опл.Дневной стац. (2)'!K35+'т.5 опл. тр АМБУЛАТОРИЯ'!K35+'т.5 опл.Скорая'!K35</f>
        <v>1104</v>
      </c>
      <c r="L34" s="159">
        <f>'т.5 опл. тр СТАЦИОНАР'!L35+'т.5 опл.Дневной стац. (2)'!L35+'т.5 опл. тр АМБУЛАТОРИЯ'!L35+'т.5 опл.Скорая'!L35</f>
        <v>776</v>
      </c>
      <c r="M34" s="130" t="s">
        <v>61</v>
      </c>
      <c r="N34" s="130" t="s">
        <v>61</v>
      </c>
      <c r="O34" s="130" t="s">
        <v>61</v>
      </c>
    </row>
    <row r="35" spans="1:15" ht="2.25" customHeight="1" x14ac:dyDescent="0.25"/>
    <row r="36" spans="1:15" ht="33.75" customHeight="1" x14ac:dyDescent="0.25">
      <c r="A36" s="40" t="s">
        <v>62</v>
      </c>
      <c r="B36" s="574" t="s">
        <v>63</v>
      </c>
      <c r="C36" s="574"/>
      <c r="D36" s="574"/>
      <c r="E36" s="574"/>
      <c r="F36" s="574"/>
      <c r="G36" s="574"/>
      <c r="H36" s="574"/>
      <c r="I36" s="574"/>
      <c r="J36" s="574"/>
      <c r="K36" s="574"/>
      <c r="L36" s="574"/>
      <c r="M36" s="574"/>
      <c r="N36" s="574"/>
      <c r="O36" s="574"/>
    </row>
    <row r="37" spans="1:15" x14ac:dyDescent="0.25">
      <c r="A37" s="40" t="s">
        <v>64</v>
      </c>
      <c r="B37" s="40" t="s">
        <v>65</v>
      </c>
    </row>
    <row r="38" spans="1:15" ht="14.25" customHeight="1" x14ac:dyDescent="0.25">
      <c r="A38" s="40" t="s">
        <v>66</v>
      </c>
      <c r="B38" s="40" t="s">
        <v>67</v>
      </c>
    </row>
    <row r="39" spans="1:15" ht="3.75" hidden="1" customHeight="1" x14ac:dyDescent="0.25">
      <c r="A39" s="575"/>
      <c r="B39" s="575"/>
      <c r="C39" s="575"/>
      <c r="D39" s="575"/>
      <c r="E39" s="575"/>
      <c r="F39" s="575"/>
      <c r="G39" s="575"/>
      <c r="H39" s="575"/>
      <c r="I39" s="575"/>
      <c r="J39" s="575"/>
      <c r="K39" s="575"/>
    </row>
    <row r="40" spans="1:15" ht="19.5" customHeight="1" x14ac:dyDescent="0.25">
      <c r="A40" s="36" t="s">
        <v>29</v>
      </c>
      <c r="B40" s="14"/>
      <c r="C40" s="29"/>
      <c r="D40" s="35"/>
      <c r="E40" s="15"/>
      <c r="F40" s="15"/>
      <c r="G40" s="15"/>
      <c r="H40" s="15"/>
      <c r="I40" s="30" t="s">
        <v>280</v>
      </c>
      <c r="J40" s="29"/>
      <c r="K40" s="14"/>
      <c r="L40" s="14"/>
    </row>
    <row r="41" spans="1:15" x14ac:dyDescent="0.25">
      <c r="A41" s="37"/>
      <c r="B41" s="16" t="s">
        <v>30</v>
      </c>
      <c r="C41" s="518" t="s">
        <v>31</v>
      </c>
      <c r="D41" s="518"/>
      <c r="E41" s="16"/>
      <c r="F41" s="16"/>
      <c r="G41" s="16"/>
      <c r="H41" s="16"/>
      <c r="I41" s="522" t="s">
        <v>11</v>
      </c>
      <c r="J41" s="522"/>
      <c r="K41" s="16"/>
      <c r="L41" s="32"/>
    </row>
    <row r="42" spans="1:15" x14ac:dyDescent="0.25">
      <c r="A42" s="36" t="s">
        <v>96</v>
      </c>
      <c r="B42" s="14"/>
      <c r="C42" s="29"/>
      <c r="D42" s="35"/>
      <c r="E42" s="15"/>
      <c r="F42" s="15"/>
      <c r="G42" s="15"/>
      <c r="H42" s="15"/>
      <c r="I42" s="30" t="s">
        <v>282</v>
      </c>
      <c r="J42" s="29"/>
      <c r="K42" s="33"/>
      <c r="L42" s="33"/>
    </row>
    <row r="43" spans="1:15" ht="15.75" customHeight="1" x14ac:dyDescent="0.25">
      <c r="A43" s="31"/>
      <c r="B43" s="16"/>
      <c r="C43" s="521" t="s">
        <v>31</v>
      </c>
      <c r="D43" s="521"/>
      <c r="E43" s="16"/>
      <c r="F43" s="16"/>
      <c r="G43" s="16"/>
      <c r="H43" s="16"/>
      <c r="I43" s="522" t="s">
        <v>11</v>
      </c>
      <c r="J43" s="522"/>
      <c r="K43" s="32"/>
      <c r="L43" s="32"/>
    </row>
    <row r="44" spans="1:15" ht="6" hidden="1" customHeight="1" x14ac:dyDescent="0.25">
      <c r="A44" s="17"/>
      <c r="B44" s="14"/>
      <c r="C44" s="14"/>
      <c r="D44" s="14"/>
      <c r="E44" s="14"/>
      <c r="F44" s="14"/>
      <c r="G44" s="14"/>
      <c r="H44" s="14"/>
      <c r="I44" s="14"/>
      <c r="J44" s="14"/>
      <c r="K44" s="33"/>
      <c r="L44" s="33"/>
    </row>
    <row r="45" spans="1:15" ht="15" customHeight="1" x14ac:dyDescent="0.25">
      <c r="A45" s="17" t="s">
        <v>7</v>
      </c>
      <c r="B45" s="14"/>
      <c r="C45" s="14"/>
      <c r="D45" s="15"/>
      <c r="E45" s="15"/>
      <c r="F45" s="15"/>
      <c r="G45" s="15"/>
      <c r="H45" s="15"/>
      <c r="I45" s="14"/>
      <c r="J45" s="14"/>
      <c r="K45" s="18"/>
      <c r="L45" s="34"/>
    </row>
    <row r="46" spans="1:15" x14ac:dyDescent="0.25">
      <c r="A46" s="18" t="s">
        <v>32</v>
      </c>
      <c r="B46" s="18"/>
      <c r="C46" s="18"/>
      <c r="D46" s="29"/>
      <c r="E46" s="29"/>
      <c r="F46" s="29" t="s">
        <v>376</v>
      </c>
      <c r="G46" s="29"/>
      <c r="H46" s="29"/>
      <c r="I46" s="18"/>
      <c r="J46" s="29" t="s">
        <v>377</v>
      </c>
      <c r="K46" s="30"/>
      <c r="L46" s="38"/>
    </row>
    <row r="47" spans="1:15" ht="18.75" x14ac:dyDescent="0.3">
      <c r="A47" s="18"/>
      <c r="B47" s="14"/>
      <c r="C47" s="14"/>
      <c r="D47" s="522" t="s">
        <v>33</v>
      </c>
      <c r="E47" s="522"/>
      <c r="F47" s="522"/>
      <c r="G47" s="522"/>
      <c r="H47" s="522"/>
      <c r="I47" s="16"/>
      <c r="J47" s="522" t="s">
        <v>34</v>
      </c>
      <c r="K47" s="522"/>
      <c r="L47" s="522"/>
      <c r="O47" s="53" t="s">
        <v>68</v>
      </c>
    </row>
  </sheetData>
  <mergeCells count="22">
    <mergeCell ref="A3:E3"/>
    <mergeCell ref="A6:K6"/>
    <mergeCell ref="A7:A9"/>
    <mergeCell ref="B7:B9"/>
    <mergeCell ref="C7:C9"/>
    <mergeCell ref="D7:I7"/>
    <mergeCell ref="J7:L7"/>
    <mergeCell ref="M7:O7"/>
    <mergeCell ref="D8:D9"/>
    <mergeCell ref="E8:I8"/>
    <mergeCell ref="J8:J9"/>
    <mergeCell ref="K8:L8"/>
    <mergeCell ref="M8:M9"/>
    <mergeCell ref="N8:O8"/>
    <mergeCell ref="D47:H47"/>
    <mergeCell ref="J47:L47"/>
    <mergeCell ref="B36:O36"/>
    <mergeCell ref="A39:K39"/>
    <mergeCell ref="C41:D41"/>
    <mergeCell ref="I41:J41"/>
    <mergeCell ref="C43:D43"/>
    <mergeCell ref="I43:J43"/>
  </mergeCells>
  <printOptions horizontalCentered="1"/>
  <pageMargins left="0.11811023622047245" right="0.11811023622047245" top="0.31496062992125984" bottom="0.27559055118110237" header="0" footer="0"/>
  <pageSetup paperSize="9"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11</vt:i4>
      </vt:variant>
    </vt:vector>
  </HeadingPairs>
  <TitlesOfParts>
    <vt:vector size="25" baseType="lpstr">
      <vt:lpstr>Раздел 1</vt:lpstr>
      <vt:lpstr>Раздел 2</vt:lpstr>
      <vt:lpstr>Табл. 1  Гос.задание(2)</vt:lpstr>
      <vt:lpstr>Табл. 2 Иные цели(2)</vt:lpstr>
      <vt:lpstr>Табл. 3 кап вложения(2)</vt:lpstr>
      <vt:lpstr>Табл. 5 ОМС</vt:lpstr>
      <vt:lpstr>Табл. 4.3 платные ВСЕГО </vt:lpstr>
      <vt:lpstr>Табл. 4.3 платные (0902)</vt:lpstr>
      <vt:lpstr>таб. 6 опл. тр СВОД </vt:lpstr>
      <vt:lpstr>т.5 опл. тр СТАЦИОНАР</vt:lpstr>
      <vt:lpstr>т.5 опл.Дневной стац. (2)</vt:lpstr>
      <vt:lpstr>т.5 опл. тр АМБУЛАТОРИЯ</vt:lpstr>
      <vt:lpstr>т.5 опл.Скорая</vt:lpstr>
      <vt:lpstr>проверка</vt:lpstr>
      <vt:lpstr>'Раздел 2'!Заголовки_для_печати</vt:lpstr>
      <vt:lpstr>'Раздел 1'!Область_печати</vt:lpstr>
      <vt:lpstr>'т.5 опл. тр АМБУЛАТОРИЯ'!Область_печати</vt:lpstr>
      <vt:lpstr>'т.5 опл. тр СТАЦИОНАР'!Область_печати</vt:lpstr>
      <vt:lpstr>'т.5 опл.Дневной стац. (2)'!Область_печати</vt:lpstr>
      <vt:lpstr>'т.5 опл.Скорая'!Область_печати</vt:lpstr>
      <vt:lpstr>'Табл. 2 Иные цели(2)'!Область_печати</vt:lpstr>
      <vt:lpstr>'Табл. 3 кап вложения(2)'!Область_печати</vt:lpstr>
      <vt:lpstr>'Табл. 4.3 платные (0902)'!Область_печати</vt:lpstr>
      <vt:lpstr>'Табл. 4.3 платные ВСЕГО '!Область_печати</vt:lpstr>
      <vt:lpstr>'Табл. 5 ОМС'!Область_печати</vt:lpstr>
    </vt:vector>
  </TitlesOfParts>
  <Company>DZ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dc:creator>
  <cp:lastModifiedBy>USER</cp:lastModifiedBy>
  <cp:lastPrinted>2020-12-30T06:54:30Z</cp:lastPrinted>
  <dcterms:created xsi:type="dcterms:W3CDTF">2010-08-30T04:30:55Z</dcterms:created>
  <dcterms:modified xsi:type="dcterms:W3CDTF">2021-01-12T12:32:57Z</dcterms:modified>
</cp:coreProperties>
</file>